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B0189FB4-2C1D-4860-8C84-55237829DC07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79" r:id="rId1"/>
    <sheet name="産業大分類" sheetId="5" r:id="rId2"/>
    <sheet name="産業中分類" sheetId="6" r:id="rId3"/>
    <sheet name="産業小分類" sheetId="7" r:id="rId4"/>
    <sheet name="愛知県" sheetId="8" r:id="rId5"/>
    <sheet name="名古屋市" sheetId="9" r:id="rId6"/>
    <sheet name="名古屋市千種区" sheetId="10" r:id="rId7"/>
    <sheet name="名古屋市東区" sheetId="11" r:id="rId8"/>
    <sheet name="名古屋市北区" sheetId="12" r:id="rId9"/>
    <sheet name="名古屋市西区" sheetId="13" r:id="rId10"/>
    <sheet name="名古屋市中村区" sheetId="14" r:id="rId11"/>
    <sheet name="名古屋市中区" sheetId="15" r:id="rId12"/>
    <sheet name="名古屋市昭和区" sheetId="16" r:id="rId13"/>
    <sheet name="名古屋市瑞穂区" sheetId="17" r:id="rId14"/>
    <sheet name="名古屋市熱田区" sheetId="18" r:id="rId15"/>
    <sheet name="名古屋市中川区" sheetId="19" r:id="rId16"/>
    <sheet name="名古屋市港区" sheetId="20" r:id="rId17"/>
    <sheet name="名古屋市南区" sheetId="21" r:id="rId18"/>
    <sheet name="名古屋市守山区" sheetId="22" r:id="rId19"/>
    <sheet name="名古屋市緑区" sheetId="23" r:id="rId20"/>
    <sheet name="名古屋市名東区" sheetId="24" r:id="rId21"/>
    <sheet name="名古屋市天白区" sheetId="25" r:id="rId22"/>
    <sheet name="豊橋市" sheetId="26" r:id="rId23"/>
    <sheet name="岡崎市" sheetId="27" r:id="rId24"/>
    <sheet name="一宮市" sheetId="28" r:id="rId25"/>
    <sheet name="瀬戸市" sheetId="29" r:id="rId26"/>
    <sheet name="半田市" sheetId="30" r:id="rId27"/>
    <sheet name="春日井市" sheetId="31" r:id="rId28"/>
    <sheet name="豊川市" sheetId="32" r:id="rId29"/>
    <sheet name="津島市" sheetId="33" r:id="rId30"/>
    <sheet name="碧南市" sheetId="34" r:id="rId31"/>
    <sheet name="刈谷市" sheetId="35" r:id="rId32"/>
    <sheet name="豊田市" sheetId="36" r:id="rId33"/>
    <sheet name="安城市" sheetId="37" r:id="rId34"/>
    <sheet name="西尾市" sheetId="38" r:id="rId35"/>
    <sheet name="蒲郡市" sheetId="39" r:id="rId36"/>
    <sheet name="犬山市" sheetId="40" r:id="rId37"/>
    <sheet name="常滑市" sheetId="41" r:id="rId38"/>
    <sheet name="江南市" sheetId="42" r:id="rId39"/>
    <sheet name="小牧市" sheetId="43" r:id="rId40"/>
    <sheet name="稲沢市" sheetId="44" r:id="rId41"/>
    <sheet name="新城市" sheetId="45" r:id="rId42"/>
    <sheet name="東海市" sheetId="46" r:id="rId43"/>
    <sheet name="大府市" sheetId="47" r:id="rId44"/>
    <sheet name="知多市" sheetId="48" r:id="rId45"/>
    <sheet name="知立市" sheetId="49" r:id="rId46"/>
    <sheet name="尾張旭市" sheetId="50" r:id="rId47"/>
    <sheet name="高浜市" sheetId="51" r:id="rId48"/>
    <sheet name="岩倉市" sheetId="52" r:id="rId49"/>
    <sheet name="豊明市" sheetId="53" r:id="rId50"/>
    <sheet name="日進市" sheetId="54" r:id="rId51"/>
    <sheet name="田原市" sheetId="55" r:id="rId52"/>
    <sheet name="愛西市" sheetId="56" r:id="rId53"/>
    <sheet name="清須市" sheetId="57" r:id="rId54"/>
    <sheet name="北名古屋市" sheetId="58" r:id="rId55"/>
    <sheet name="弥富市" sheetId="59" r:id="rId56"/>
    <sheet name="みよし市" sheetId="60" r:id="rId57"/>
    <sheet name="あま市" sheetId="61" r:id="rId58"/>
    <sheet name="長久手市" sheetId="62" r:id="rId59"/>
    <sheet name="愛知郡東郷町" sheetId="63" r:id="rId60"/>
    <sheet name="西春日井郡豊山町" sheetId="64" r:id="rId61"/>
    <sheet name="丹羽郡大口町" sheetId="65" r:id="rId62"/>
    <sheet name="丹羽郡扶桑町" sheetId="66" r:id="rId63"/>
    <sheet name="海部郡大治町" sheetId="67" r:id="rId64"/>
    <sheet name="海部郡蟹江町" sheetId="68" r:id="rId65"/>
    <sheet name="海部郡飛島村" sheetId="69" r:id="rId66"/>
    <sheet name="知多郡阿久比町" sheetId="70" r:id="rId67"/>
    <sheet name="知多郡東浦町" sheetId="71" r:id="rId68"/>
    <sheet name="知多郡南知多町" sheetId="72" r:id="rId69"/>
    <sheet name="知多郡美浜町" sheetId="73" r:id="rId70"/>
    <sheet name="知多郡武豊町" sheetId="74" r:id="rId71"/>
    <sheet name="額田郡幸田町" sheetId="75" r:id="rId72"/>
    <sheet name="北設楽郡設楽町" sheetId="76" r:id="rId73"/>
    <sheet name="北設楽郡東栄町" sheetId="77" r:id="rId74"/>
    <sheet name="北設楽郡豊根村" sheetId="78" r:id="rId75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94" r:id="rId76"/>
    <pivotCache cacheId="2195" r:id="rId77"/>
    <pivotCache cacheId="2196" r:id="rId7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78" l="1"/>
  <c r="G21" i="78"/>
  <c r="E21" i="78"/>
  <c r="I20" i="78"/>
  <c r="G20" i="78"/>
  <c r="E20" i="78"/>
  <c r="C20" i="78"/>
  <c r="I21" i="77"/>
  <c r="G21" i="77"/>
  <c r="E21" i="77"/>
  <c r="I20" i="77"/>
  <c r="G20" i="77"/>
  <c r="E20" i="77"/>
  <c r="C20" i="77"/>
  <c r="I21" i="76"/>
  <c r="G21" i="76"/>
  <c r="E21" i="76"/>
  <c r="I20" i="76"/>
  <c r="G20" i="76"/>
  <c r="E20" i="76"/>
  <c r="C20" i="76"/>
  <c r="I21" i="75"/>
  <c r="G21" i="75"/>
  <c r="E21" i="75"/>
  <c r="I20" i="75"/>
  <c r="G20" i="75"/>
  <c r="E20" i="75"/>
  <c r="C20" i="75"/>
  <c r="I21" i="74"/>
  <c r="G21" i="74"/>
  <c r="E21" i="74"/>
  <c r="I20" i="74"/>
  <c r="G20" i="74"/>
  <c r="E20" i="74"/>
  <c r="C20" i="74"/>
  <c r="I21" i="73"/>
  <c r="G21" i="73"/>
  <c r="E21" i="73"/>
  <c r="I20" i="73"/>
  <c r="G20" i="73"/>
  <c r="E20" i="73"/>
  <c r="C20" i="73"/>
  <c r="I21" i="72"/>
  <c r="G21" i="72"/>
  <c r="E21" i="72"/>
  <c r="I20" i="72"/>
  <c r="G20" i="72"/>
  <c r="E20" i="72"/>
  <c r="C20" i="72"/>
  <c r="I21" i="71"/>
  <c r="G21" i="71"/>
  <c r="E21" i="71"/>
  <c r="I20" i="71"/>
  <c r="G20" i="71"/>
  <c r="E20" i="71"/>
  <c r="C20" i="71"/>
  <c r="I21" i="70"/>
  <c r="G21" i="70"/>
  <c r="E21" i="70"/>
  <c r="I20" i="70"/>
  <c r="G20" i="70"/>
  <c r="E20" i="70"/>
  <c r="C20" i="70"/>
  <c r="I21" i="69"/>
  <c r="G21" i="69"/>
  <c r="E21" i="69"/>
  <c r="I20" i="69"/>
  <c r="G20" i="69"/>
  <c r="E20" i="69"/>
  <c r="C20" i="69"/>
  <c r="I21" i="68"/>
  <c r="G21" i="68"/>
  <c r="E21" i="68"/>
  <c r="I20" i="68"/>
  <c r="G20" i="68"/>
  <c r="E20" i="68"/>
  <c r="C20" i="68"/>
  <c r="I21" i="67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<sst xmlns="http://schemas.openxmlformats.org/spreadsheetml/2006/main" count="10319" uniqueCount="423">
  <si>
    <t>23000 愛知県</t>
  </si>
  <si>
    <t>23100 名古屋市</t>
  </si>
  <si>
    <t>23101 名古屋市千種区</t>
  </si>
  <si>
    <t>23102 名古屋市東区</t>
  </si>
  <si>
    <t>23103 名古屋市北区</t>
  </si>
  <si>
    <t>23104 名古屋市西区</t>
  </si>
  <si>
    <t>23105 名古屋市中村区</t>
  </si>
  <si>
    <t>23106 名古屋市中区</t>
  </si>
  <si>
    <t>23107 名古屋市昭和区</t>
  </si>
  <si>
    <t>23108 名古屋市瑞穂区</t>
  </si>
  <si>
    <t>23109 名古屋市熱田区</t>
  </si>
  <si>
    <t>23110 名古屋市中川区</t>
  </si>
  <si>
    <t>23111 名古屋市港区</t>
  </si>
  <si>
    <t>23112 名古屋市南区</t>
  </si>
  <si>
    <t>23113 名古屋市守山区</t>
  </si>
  <si>
    <t>23114 名古屋市緑区</t>
  </si>
  <si>
    <t>23115 名古屋市名東区</t>
  </si>
  <si>
    <t>23116 名古屋市天白区</t>
  </si>
  <si>
    <t>23201 豊橋市</t>
  </si>
  <si>
    <t>23202 岡崎市</t>
  </si>
  <si>
    <t>23203 一宮市</t>
  </si>
  <si>
    <t>23204 瀬戸市</t>
  </si>
  <si>
    <t>23205 半田市</t>
  </si>
  <si>
    <t>23206 春日井市</t>
  </si>
  <si>
    <t>23207 豊川市</t>
  </si>
  <si>
    <t>23208 津島市</t>
  </si>
  <si>
    <t>23209 碧南市</t>
  </si>
  <si>
    <t>23210 刈谷市</t>
  </si>
  <si>
    <t>23211 豊田市</t>
  </si>
  <si>
    <t>23212 安城市</t>
  </si>
  <si>
    <t>23213 西尾市</t>
  </si>
  <si>
    <t>23214 蒲郡市</t>
  </si>
  <si>
    <t>23215 犬山市</t>
  </si>
  <si>
    <t>23216 常滑市</t>
  </si>
  <si>
    <t>23217 江南市</t>
  </si>
  <si>
    <t>23219 小牧市</t>
  </si>
  <si>
    <t>23220 稲沢市</t>
  </si>
  <si>
    <t>23221 新城市</t>
  </si>
  <si>
    <t>23222 東海市</t>
  </si>
  <si>
    <t>23223 大府市</t>
  </si>
  <si>
    <t>23224 知多市</t>
  </si>
  <si>
    <t>23225 知立市</t>
  </si>
  <si>
    <t>23226 尾張旭市</t>
  </si>
  <si>
    <t>23227 高浜市</t>
  </si>
  <si>
    <t>23228 岩倉市</t>
  </si>
  <si>
    <t>23229 豊明市</t>
  </si>
  <si>
    <t>23230 日進市</t>
  </si>
  <si>
    <t>23231 田原市</t>
  </si>
  <si>
    <t>23232 愛西市</t>
  </si>
  <si>
    <t>23233 清須市</t>
  </si>
  <si>
    <t>23234 北名古屋市</t>
  </si>
  <si>
    <t>23235 弥富市</t>
  </si>
  <si>
    <t>23236 みよし市</t>
  </si>
  <si>
    <t>23237 あま市</t>
  </si>
  <si>
    <t>23238 長久手市</t>
  </si>
  <si>
    <t>23302 愛知郡東郷町</t>
  </si>
  <si>
    <t>23342 西春日井郡豊山町</t>
  </si>
  <si>
    <t>23361 丹羽郡大口町</t>
  </si>
  <si>
    <t>23362 丹羽郡扶桑町</t>
  </si>
  <si>
    <t>23424 海部郡大治町</t>
  </si>
  <si>
    <t>23425 海部郡蟹江町</t>
  </si>
  <si>
    <t>23427 海部郡飛島村</t>
  </si>
  <si>
    <t>23441 知多郡阿久比町</t>
  </si>
  <si>
    <t>23442 知多郡東浦町</t>
  </si>
  <si>
    <t>23445 知多郡南知多町</t>
  </si>
  <si>
    <t>23446 知多郡美浜町</t>
  </si>
  <si>
    <t>23447 知多郡武豊町</t>
  </si>
  <si>
    <t>23501 額田郡幸田町</t>
  </si>
  <si>
    <t>23561 北設楽郡設楽町</t>
  </si>
  <si>
    <t>23562 北設楽郡東栄町</t>
  </si>
  <si>
    <t>23563 北設楽郡豊根村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</si>
  <si>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</si>
  <si>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</si>
  <si>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</si>
  <si>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</si>
  <si>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</si>
  <si>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</si>
  <si>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</si>
  <si>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</si>
  <si>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</si>
  <si>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</si>
  <si>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</si>
  <si>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</si>
  <si>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</si>
  <si>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</si>
  <si>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</si>
  <si>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</si>
  <si>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</si>
  <si>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</si>
  <si>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</si>
  <si>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</si>
  <si>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</si>
  <si>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</si>
  <si>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</si>
  <si>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</si>
  <si>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</si>
  <si>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</si>
  <si>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</si>
  <si>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26 生産用機械器具製造業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</si>
  <si>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</si>
  <si>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</si>
  <si>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</si>
  <si>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</si>
  <si>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</si>
  <si>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</si>
  <si>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</si>
  <si>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</si>
  <si>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</si>
  <si>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</si>
  <si>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</si>
  <si>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</si>
  <si>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</si>
  <si>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</si>
  <si>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</si>
  <si>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92 その他の事業サービス業</t>
  </si>
  <si>
    <t>79 その他の生活関連サービス業</t>
  </si>
  <si>
    <t>85 社会保険・社会福祉・介護事業</t>
  </si>
  <si>
    <t>15 印刷・同関連業</t>
  </si>
  <si>
    <t>52 飲食料品卸売業</t>
  </si>
  <si>
    <t>39 情報サービス業</t>
  </si>
  <si>
    <t>67 保険業（保険媒介代理業，保険サービス業を含む）</t>
  </si>
  <si>
    <t>25 はん用機械器具製造業</t>
  </si>
  <si>
    <t>89 自動車整備業</t>
  </si>
  <si>
    <t>48 運輸に附帯するサービス業</t>
  </si>
  <si>
    <t>31 輸送用機械器具製造業</t>
  </si>
  <si>
    <t>11 繊維工業</t>
  </si>
  <si>
    <t>21 窯業・土石製品製造業</t>
  </si>
  <si>
    <t>29 電気機械器具製造業</t>
  </si>
  <si>
    <t>09 食料品製造業</t>
  </si>
  <si>
    <t>32 その他の製造業</t>
  </si>
  <si>
    <t>51 繊維・衣服等卸売業</t>
  </si>
  <si>
    <t>18 プラスチック製品製造業（別掲を除く）</t>
  </si>
  <si>
    <t>44 道路貨物運送業</t>
  </si>
  <si>
    <t>12 木材・木製品製造業（家具を除く）</t>
  </si>
  <si>
    <t>75 宿泊業</t>
  </si>
  <si>
    <t>77 持ち帰り・配達飲食サービス業</t>
  </si>
  <si>
    <t>95 その他のサービス業</t>
  </si>
  <si>
    <t>13 家具・装備品製造業</t>
  </si>
  <si>
    <t>80 娯楽業</t>
  </si>
  <si>
    <t>22 鉄鋼業</t>
  </si>
  <si>
    <t>47 倉庫業</t>
  </si>
  <si>
    <t>88 廃棄物処理業</t>
  </si>
  <si>
    <t>61 無店舗小売業</t>
  </si>
  <si>
    <t>90 機械等修理業（別掲を除く）</t>
  </si>
  <si>
    <t>43 道路旅客運送業</t>
  </si>
  <si>
    <t>10 飲料・たばこ・飼料製造業</t>
  </si>
  <si>
    <t>17 石油製品・石炭製品製造業</t>
  </si>
  <si>
    <t>36 水道業</t>
  </si>
  <si>
    <t>70 物品賃貸業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</si>
  <si>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</si>
  <si>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</si>
  <si>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</si>
  <si>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</si>
  <si>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</si>
  <si>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</si>
  <si>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083 管工事業（さく井工事業を除く）</t>
  </si>
  <si>
    <t>591 自動車小売業</t>
  </si>
  <si>
    <t>603 医薬品・化粧品小売業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</si>
  <si>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</si>
  <si>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</si>
  <si>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</si>
  <si>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</si>
  <si>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</si>
  <si>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</si>
  <si>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</si>
  <si>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767 喫茶店</t>
  </si>
  <si>
    <t>781 洗濯業</t>
  </si>
  <si>
    <t>782 理容業</t>
  </si>
  <si>
    <t>783 美容業</t>
  </si>
  <si>
    <t>823 学習塾</t>
  </si>
  <si>
    <t>824 教養・技能教授業</t>
  </si>
  <si>
    <t>835 療術業</t>
  </si>
  <si>
    <t>541 産業機械器具卸売業</t>
  </si>
  <si>
    <t>559 他に分類されない卸売業</t>
  </si>
  <si>
    <t>694 不動産管理業</t>
  </si>
  <si>
    <t>724 公認会計士事務所，税理士事務所</t>
  </si>
  <si>
    <t>766 バー，キャバレー，ナイトクラブ</t>
  </si>
  <si>
    <t>728 経営コンサルタント業，純粋持株会社</t>
  </si>
  <si>
    <t>729 その他の専門サービス業</t>
  </si>
  <si>
    <t>789 その他の洗濯・理容・美容・浴場業</t>
  </si>
  <si>
    <t>929 他に分類されない事業サービス業</t>
  </si>
  <si>
    <t>721 法律事務所，特許事務所</t>
  </si>
  <si>
    <t>722 公証人役場，司法書士事務所，土地家屋調査士事務所</t>
  </si>
  <si>
    <t>726 デザイン業</t>
  </si>
  <si>
    <t>078 床・内装工事業</t>
  </si>
  <si>
    <t>151 印刷業</t>
  </si>
  <si>
    <t>589 その他の飲食料品小売業</t>
  </si>
  <si>
    <t>522 食料・飲料卸売業</t>
  </si>
  <si>
    <t>891 自動車整備業</t>
  </si>
  <si>
    <t>391 ソフトウェア業</t>
  </si>
  <si>
    <t>543 電気機械器具卸売業</t>
  </si>
  <si>
    <t>573 婦人・子供服小売業</t>
  </si>
  <si>
    <t>799 他に分類されない生活関連サービス業</t>
  </si>
  <si>
    <t>693 駐車場業</t>
  </si>
  <si>
    <t>521 農畜産物・水産物卸売業</t>
  </si>
  <si>
    <t>532 化学製品卸売業</t>
  </si>
  <si>
    <t>244 建設用・建築用金属製品製造業（製缶板金業を含む）</t>
  </si>
  <si>
    <t>266 金属加工機械製造業</t>
  </si>
  <si>
    <t>593 機械器具小売業（自動車，自転車を除く）</t>
  </si>
  <si>
    <t>072 とび・土工・コンクリート工事業</t>
  </si>
  <si>
    <t>079 その他の職別工事業</t>
  </si>
  <si>
    <t>269 その他の生産用機械・同部分品製造業</t>
  </si>
  <si>
    <t>311 自動車・同附属品製造業</t>
  </si>
  <si>
    <t>066 建築リフォーム工事業</t>
  </si>
  <si>
    <t>077 塗装工事業</t>
  </si>
  <si>
    <t>065 木造建築工事業</t>
  </si>
  <si>
    <t>112 織物業</t>
  </si>
  <si>
    <t>214 陶磁器・同関連製品製造業</t>
  </si>
  <si>
    <t>219 その他の窯業・土石製品製造業</t>
  </si>
  <si>
    <t>551 家具・建具・じゅう器等卸売業</t>
  </si>
  <si>
    <t>586 菓子・パン小売業</t>
  </si>
  <si>
    <t>772 配達飲食サービス業</t>
  </si>
  <si>
    <t>115 綱・網・レース・繊維粗製品製造業</t>
  </si>
  <si>
    <t>119 その他の繊維製品製造業</t>
  </si>
  <si>
    <t>602 じゅう器小売業</t>
  </si>
  <si>
    <t>111 製糸業，紡績業，化学繊維・ねん糸等製造業</t>
  </si>
  <si>
    <t>441 一般貨物自動車運送業</t>
  </si>
  <si>
    <t>071 大工工事業</t>
  </si>
  <si>
    <t>605 燃料小売業</t>
  </si>
  <si>
    <t>084 機械器具設置工事業</t>
  </si>
  <si>
    <t>611 通信販売・訪問販売小売業</t>
  </si>
  <si>
    <t>213 建設用粘土製品製造業（陶磁器製を除く）</t>
  </si>
  <si>
    <t>761 食堂，レストラン（専門料理店を除く）</t>
  </si>
  <si>
    <t>951 集会場</t>
  </si>
  <si>
    <t>531 建築材料卸売業</t>
  </si>
  <si>
    <t>803 競輪・競馬等の競走場，競技団</t>
  </si>
  <si>
    <t>853 児童福祉事業</t>
  </si>
  <si>
    <t>854 老人福祉・介護事業</t>
  </si>
  <si>
    <t>328 畳等生活雑貨製品製造業</t>
  </si>
  <si>
    <t>291 発電用・送電用・配電用電気機械器具製造業</t>
  </si>
  <si>
    <t>821 社会教育</t>
  </si>
  <si>
    <t>082 電気通信・信号装置工事業</t>
  </si>
  <si>
    <t>122 造作材・合板・建築用組立材料製造業</t>
  </si>
  <si>
    <t>174 舗装材料製造業</t>
  </si>
  <si>
    <t>229 その他の鉄鋼業</t>
  </si>
  <si>
    <t>471 倉庫業（冷蔵倉庫業を除く）</t>
  </si>
  <si>
    <t>481 港湾運送業</t>
  </si>
  <si>
    <t>484 こん包業</t>
  </si>
  <si>
    <t>536 再生資源卸売業</t>
  </si>
  <si>
    <t>542 自動車卸売業</t>
  </si>
  <si>
    <t>607 スポーツ用品・がん具・娯楽用品・楽器小売業</t>
  </si>
  <si>
    <t>702 産業用機械器具賃貸業</t>
  </si>
  <si>
    <t>882 産業廃棄物処理業</t>
  </si>
  <si>
    <t>075 左官工事業</t>
  </si>
  <si>
    <t>579 その他の織物・衣服・身の回り品小売業</t>
  </si>
  <si>
    <t>092 水産食料品製造業</t>
  </si>
  <si>
    <t>097 パン・菓子製造業</t>
  </si>
  <si>
    <t>183 工業用プラスチック製品製造業</t>
  </si>
  <si>
    <t>601 家具・建具・畳小売業</t>
  </si>
  <si>
    <t>751 旅館，ホテル</t>
  </si>
  <si>
    <t>809 その他の娯楽業</t>
  </si>
  <si>
    <t>076 板金・金物工事業</t>
  </si>
  <si>
    <t>099 その他の食料品製造業</t>
  </si>
  <si>
    <t>121 製材業，木製品製造業</t>
  </si>
  <si>
    <t>133 建具製造業</t>
  </si>
  <si>
    <t>432 一般乗用旅客自動車運送業</t>
  </si>
  <si>
    <t>581 各種食料品小売業</t>
  </si>
  <si>
    <t>583 食肉小売業</t>
  </si>
  <si>
    <t>585 酒小売業</t>
  </si>
  <si>
    <t>604 農耕用品小売業</t>
  </si>
  <si>
    <t>606 書籍・文房具小売業</t>
  </si>
  <si>
    <t>759 その他の宿泊業</t>
  </si>
  <si>
    <t>763 そば・うどん店</t>
  </si>
  <si>
    <t>833 歯科診療所</t>
  </si>
  <si>
    <t>608 写真機・時計・眼鏡小売業</t>
  </si>
  <si>
    <t>093 野菜缶詰・果実缶詰・農産保存食料品製造業</t>
  </si>
  <si>
    <t>094 調味料製造業</t>
  </si>
  <si>
    <t>103 茶・コーヒー製造業（清涼飲料を除く）</t>
  </si>
  <si>
    <t>212 セメント・同製品製造業</t>
  </si>
  <si>
    <t>329 他に分類されない製造業</t>
  </si>
  <si>
    <t>489 その他の運輸に附帯するサービス業</t>
  </si>
  <si>
    <t>572 男子服小売業</t>
  </si>
  <si>
    <t>804 スポーツ施設提供業</t>
  </si>
  <si>
    <t>911 職業紹介業</t>
  </si>
  <si>
    <t>産業小分類</t>
  </si>
  <si>
    <t>23000　愛知県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</si>
  <si>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</si>
  <si>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</si>
  <si>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</si>
  <si>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</si>
  <si>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</si>
  <si>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23100　名古屋市</t>
  </si>
  <si>
    <t>23101　名古屋市千種区</t>
  </si>
  <si>
    <t>23102　名古屋市東区</t>
  </si>
  <si>
    <t>23103　名古屋市北区</t>
  </si>
  <si>
    <t>23104　名古屋市西区</t>
  </si>
  <si>
    <t>23105　名古屋市中村区</t>
  </si>
  <si>
    <t>23106　名古屋市中区</t>
  </si>
  <si>
    <t>23107　名古屋市昭和区</t>
  </si>
  <si>
    <t>23108　名古屋市瑞穂区</t>
  </si>
  <si>
    <t>23109　名古屋市熱田区</t>
  </si>
  <si>
    <t>23110　名古屋市中川区</t>
  </si>
  <si>
    <t>23111　名古屋市港区</t>
  </si>
  <si>
    <t>23112　名古屋市南区</t>
  </si>
  <si>
    <t>23113　名古屋市守山区</t>
  </si>
  <si>
    <t>23114　名古屋市緑区</t>
  </si>
  <si>
    <t>23115　名古屋市名東区</t>
  </si>
  <si>
    <t>23116　名古屋市天白区</t>
  </si>
  <si>
    <t>23201　豊橋市</t>
  </si>
  <si>
    <t>23202　岡崎市</t>
  </si>
  <si>
    <t>23203　一宮市</t>
  </si>
  <si>
    <t>23204　瀬戸市</t>
  </si>
  <si>
    <t>23205　半田市</t>
  </si>
  <si>
    <t>23206　春日井市</t>
  </si>
  <si>
    <t>23207　豊川市</t>
  </si>
  <si>
    <t>23208　津島市</t>
  </si>
  <si>
    <t>23209　碧南市</t>
  </si>
  <si>
    <t>23210　刈谷市</t>
  </si>
  <si>
    <t>23211　豊田市</t>
  </si>
  <si>
    <t>23212　安城市</t>
  </si>
  <si>
    <t>23213　西尾市</t>
  </si>
  <si>
    <t>23214　蒲郡市</t>
  </si>
  <si>
    <t>23215　犬山市</t>
  </si>
  <si>
    <t>23216　常滑市</t>
  </si>
  <si>
    <t>23217　江南市</t>
  </si>
  <si>
    <t>23219　小牧市</t>
  </si>
  <si>
    <t>23220　稲沢市</t>
  </si>
  <si>
    <t>23221　新城市</t>
  </si>
  <si>
    <t>23222　東海市</t>
  </si>
  <si>
    <t>23223　大府市</t>
  </si>
  <si>
    <t>23224　知多市</t>
  </si>
  <si>
    <t>23225　知立市</t>
  </si>
  <si>
    <t>23226　尾張旭市</t>
  </si>
  <si>
    <t>23227　高浜市</t>
  </si>
  <si>
    <t>23228　岩倉市</t>
  </si>
  <si>
    <t>23229　豊明市</t>
  </si>
  <si>
    <t>23230　日進市</t>
  </si>
  <si>
    <t>23231　田原市</t>
  </si>
  <si>
    <t>23232　愛西市</t>
  </si>
  <si>
    <t>23233　清須市</t>
  </si>
  <si>
    <t>23234　北名古屋市</t>
  </si>
  <si>
    <t>23235　弥富市</t>
  </si>
  <si>
    <t>23236　みよし市</t>
  </si>
  <si>
    <t>23237　あま市</t>
  </si>
  <si>
    <t>23238　長久手市</t>
  </si>
  <si>
    <t>23302　愛知郡東郷町</t>
  </si>
  <si>
    <t>23342　西春日井郡豊山町</t>
  </si>
  <si>
    <t>23361　丹羽郡大口町</t>
  </si>
  <si>
    <t>23362　丹羽郡扶桑町</t>
  </si>
  <si>
    <t>23424　海部郡大治町</t>
  </si>
  <si>
    <t>23425　海部郡蟹江町</t>
  </si>
  <si>
    <t>23427　海部郡飛島村</t>
  </si>
  <si>
    <t>23441　知多郡阿久比町</t>
  </si>
  <si>
    <t>23442　知多郡東浦町</t>
  </si>
  <si>
    <t>23445　知多郡南知多町</t>
  </si>
  <si>
    <t>23446　知多郡美浜町</t>
  </si>
  <si>
    <t>23447　知多郡武豊町</t>
  </si>
  <si>
    <t>23501　額田郡幸田町</t>
  </si>
  <si>
    <t>23561　北設楽郡設楽町</t>
  </si>
  <si>
    <t>23562　北設楽郡東栄町</t>
  </si>
  <si>
    <t>23563　北設楽郡豊根村</t>
  </si>
  <si>
    <t>愛知県</t>
  </si>
  <si>
    <t>名古屋市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</si>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</sst>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04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pivotCacheDefinition" Target="pivotCache/pivotCacheDefinition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onnections" Target="connection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pivotCacheDefinition" Target="pivotCache/pivotCacheDefinition3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6072337962" createdVersion="5" refreshedVersion="8" minRefreshableVersion="3" recordCount="1065" xr:uid="{349CF159-DACF-4B09-A334-F05AB1C258CC}">
  <cacheSource type="external" connectionId="1"/>
  <cacheFields count="11">
    <cacheField name="都道府県" numFmtId="0" sqlType="-9">
      <sharedItems count="1">
        <s v="23 愛知県"/>
      </sharedItems>
    </cacheField>
    <cacheField name="自治体名" numFmtId="0" sqlType="-9">
      <sharedItems/>
    </cacheField>
    <cacheField name="自治体" numFmtId="0" sqlType="-9">
      <sharedItems count="71">
        <s v="23000 愛知県"/>
        <s v="23100 名古屋市"/>
        <s v="23101 名古屋市千種区"/>
        <s v="23102 名古屋市東区"/>
        <s v="23103 名古屋市北区"/>
        <s v="23104 名古屋市西区"/>
        <s v="23105 名古屋市中村区"/>
        <s v="23106 名古屋市中区"/>
        <s v="23107 名古屋市昭和区"/>
        <s v="23108 名古屋市瑞穂区"/>
        <s v="23109 名古屋市熱田区"/>
        <s v="23110 名古屋市中川区"/>
        <s v="23111 名古屋市港区"/>
        <s v="23112 名古屋市南区"/>
        <s v="23113 名古屋市守山区"/>
        <s v="23114 名古屋市緑区"/>
        <s v="23115 名古屋市名東区"/>
        <s v="23116 名古屋市天白区"/>
        <s v="23201 豊橋市"/>
        <s v="23202 岡崎市"/>
        <s v="23203 一宮市"/>
        <s v="23204 瀬戸市"/>
        <s v="23205 半田市"/>
        <s v="23206 春日井市"/>
        <s v="23207 豊川市"/>
        <s v="23208 津島市"/>
        <s v="23209 碧南市"/>
        <s v="23210 刈谷市"/>
        <s v="23211 豊田市"/>
        <s v="23212 安城市"/>
        <s v="23213 西尾市"/>
        <s v="23214 蒲郡市"/>
        <s v="23215 犬山市"/>
        <s v="23216 常滑市"/>
        <s v="23217 江南市"/>
        <s v="23219 小牧市"/>
        <s v="23220 稲沢市"/>
        <s v="23221 新城市"/>
        <s v="23222 東海市"/>
        <s v="23223 大府市"/>
        <s v="23224 知多市"/>
        <s v="23225 知立市"/>
        <s v="23226 尾張旭市"/>
        <s v="23227 高浜市"/>
        <s v="23228 岩倉市"/>
        <s v="23229 豊明市"/>
        <s v="23230 日進市"/>
        <s v="23231 田原市"/>
        <s v="23232 愛西市"/>
        <s v="23233 清須市"/>
        <s v="23234 北名古屋市"/>
        <s v="23235 弥富市"/>
        <s v="23236 みよし市"/>
        <s v="23237 あま市"/>
        <s v="23238 長久手市"/>
        <s v="23302 愛知郡東郷町"/>
        <s v="23342 西春日井郡豊山町"/>
        <s v="23361 丹羽郡大口町"/>
        <s v="23362 丹羽郡扶桑町"/>
        <s v="23424 海部郡大治町"/>
        <s v="23425 海部郡蟹江町"/>
        <s v="23427 海部郡飛島村"/>
        <s v="23441 知多郡阿久比町"/>
        <s v="23442 知多郡東浦町"/>
        <s v="23445 知多郡南知多町"/>
        <s v="23446 知多郡美浜町"/>
        <s v="23447 知多郡武豊町"/>
        <s v="23501 額田郡幸田町"/>
        <s v="23561 北設楽郡設楽町"/>
        <s v="23562 北設楽郡東栄町"/>
        <s v="23563 北設楽郡豊根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34840"/>
    </cacheField>
    <cacheField name="構成比" numFmtId="0" sqlType="3">
      <sharedItems containsSemiMixedTypes="0" containsString="0" containsNumber="1" minValue="0" maxValue="32.56"/>
    </cacheField>
    <cacheField name="総数（個人）" numFmtId="0" sqlType="4">
      <sharedItems containsSemiMixedTypes="0" containsString="0" containsNumber="1" containsInteger="1" minValue="0" maxValue="14337"/>
    </cacheField>
    <cacheField name="構成比（個人）" numFmtId="0" sqlType="3">
      <sharedItems containsSemiMixedTypes="0" containsString="0" containsNumber="1" minValue="0" maxValue="46.43"/>
    </cacheField>
    <cacheField name="総数（法人）" numFmtId="0" sqlType="4">
      <sharedItems containsSemiMixedTypes="0" containsString="0" containsNumber="1" containsInteger="1" minValue="0" maxValue="21268"/>
    </cacheField>
    <cacheField name="構成比（法人）" numFmtId="0" sqlType="3">
      <sharedItems containsSemiMixedTypes="0" containsString="0" containsNumber="1" minValue="0" maxValue="45.45"/>
    </cacheField>
    <cacheField name="総数（法人以外の団体）" numFmtId="0" sqlType="4">
      <sharedItems containsSemiMixedTypes="0" containsString="0" containsNumber="1" containsInteger="1" minValue="0" maxValue="63" count="19">
        <n v="0"/>
        <n v="6"/>
        <n v="5"/>
        <n v="4"/>
        <n v="12"/>
        <n v="21"/>
        <n v="1"/>
        <n v="20"/>
        <n v="15"/>
        <n v="7"/>
        <n v="14"/>
        <n v="44"/>
        <n v="27"/>
        <n v="63"/>
        <n v="2"/>
        <n v="3"/>
        <n v="8"/>
        <n v="19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6201620371" createdVersion="5" refreshedVersion="8" minRefreshableVersion="3" recordCount="1462" xr:uid="{AA0B5CFA-58B5-42A3-9BD0-3FB192250E94}">
  <cacheSource type="external" connectionId="2"/>
  <cacheFields count="14">
    <cacheField name="都道府県" numFmtId="0" sqlType="-9">
      <sharedItems count="1">
        <s v="23 愛知県"/>
      </sharedItems>
    </cacheField>
    <cacheField name="自治体名" numFmtId="0" sqlType="-9">
      <sharedItems count="71">
        <s v="愛知県"/>
        <s v="名古屋市"/>
        <s v="名古屋市千種区"/>
        <s v="名古屋市東区"/>
        <s v="名古屋市北区"/>
        <s v="名古屋市西区"/>
        <s v="名古屋市中村区"/>
        <s v="名古屋市中区"/>
        <s v="名古屋市昭和区"/>
        <s v="名古屋市瑞穂区"/>
        <s v="名古屋市熱田区"/>
        <s v="名古屋市中川区"/>
        <s v="名古屋市港区"/>
        <s v="名古屋市南区"/>
        <s v="名古屋市守山区"/>
        <s v="名古屋市緑区"/>
        <s v="名古屋市名東区"/>
        <s v="名古屋市天白区"/>
        <s v="豊橋市"/>
        <s v="岡崎市"/>
        <s v="一宮市"/>
        <s v="瀬戸市"/>
        <s v="半田市"/>
        <s v="春日井市"/>
        <s v="豊川市"/>
        <s v="津島市"/>
        <s v="碧南市"/>
        <s v="刈谷市"/>
        <s v="豊田市"/>
        <s v="安城市"/>
        <s v="西尾市"/>
        <s v="蒲郡市"/>
        <s v="犬山市"/>
        <s v="常滑市"/>
        <s v="江南市"/>
        <s v="小牧市"/>
        <s v="稲沢市"/>
        <s v="新城市"/>
        <s v="東海市"/>
        <s v="大府市"/>
        <s v="知多市"/>
        <s v="知立市"/>
        <s v="尾張旭市"/>
        <s v="高浜市"/>
        <s v="岩倉市"/>
        <s v="豊明市"/>
        <s v="日進市"/>
        <s v="田原市"/>
        <s v="愛西市"/>
        <s v="清須市"/>
        <s v="北名古屋市"/>
        <s v="弥富市"/>
        <s v="みよし市"/>
        <s v="あま市"/>
        <s v="長久手市"/>
        <s v="愛知郡東郷町"/>
        <s v="西春日井郡豊山町"/>
        <s v="丹羽郡大口町"/>
        <s v="丹羽郡扶桑町"/>
        <s v="海部郡大治町"/>
        <s v="海部郡蟹江町"/>
        <s v="海部郡飛島村"/>
        <s v="知多郡阿久比町"/>
        <s v="知多郡東浦町"/>
        <s v="知多郡南知多町"/>
        <s v="知多郡美浜町"/>
        <s v="知多郡武豊町"/>
        <s v="額田郡幸田町"/>
        <s v="北設楽郡設楽町"/>
        <s v="北設楽郡東栄町"/>
        <s v="北設楽郡豊根村"/>
      </sharedItems>
    </cacheField>
    <cacheField name="自治体" numFmtId="0" sqlType="-9">
      <sharedItems count="71">
        <s v="23000 愛知県"/>
        <s v="23100 名古屋市"/>
        <s v="23101 名古屋市千種区"/>
        <s v="23102 名古屋市東区"/>
        <s v="23103 名古屋市北区"/>
        <s v="23104 名古屋市西区"/>
        <s v="23105 名古屋市中村区"/>
        <s v="23106 名古屋市中区"/>
        <s v="23107 名古屋市昭和区"/>
        <s v="23108 名古屋市瑞穂区"/>
        <s v="23109 名古屋市熱田区"/>
        <s v="23110 名古屋市中川区"/>
        <s v="23111 名古屋市港区"/>
        <s v="23112 名古屋市南区"/>
        <s v="23113 名古屋市守山区"/>
        <s v="23114 名古屋市緑区"/>
        <s v="23115 名古屋市名東区"/>
        <s v="23116 名古屋市天白区"/>
        <s v="23201 豊橋市"/>
        <s v="23202 岡崎市"/>
        <s v="23203 一宮市"/>
        <s v="23204 瀬戸市"/>
        <s v="23205 半田市"/>
        <s v="23206 春日井市"/>
        <s v="23207 豊川市"/>
        <s v="23208 津島市"/>
        <s v="23209 碧南市"/>
        <s v="23210 刈谷市"/>
        <s v="23211 豊田市"/>
        <s v="23212 安城市"/>
        <s v="23213 西尾市"/>
        <s v="23214 蒲郡市"/>
        <s v="23215 犬山市"/>
        <s v="23216 常滑市"/>
        <s v="23217 江南市"/>
        <s v="23219 小牧市"/>
        <s v="23220 稲沢市"/>
        <s v="23221 新城市"/>
        <s v="23222 東海市"/>
        <s v="23223 大府市"/>
        <s v="23224 知多市"/>
        <s v="23225 知立市"/>
        <s v="23226 尾張旭市"/>
        <s v="23227 高浜市"/>
        <s v="23228 岩倉市"/>
        <s v="23229 豊明市"/>
        <s v="23230 日進市"/>
        <s v="23231 田原市"/>
        <s v="23232 愛西市"/>
        <s v="23233 清須市"/>
        <s v="23234 北名古屋市"/>
        <s v="23235 弥富市"/>
        <s v="23236 みよし市"/>
        <s v="23237 あま市"/>
        <s v="23238 長久手市"/>
        <s v="23302 愛知郡東郷町"/>
        <s v="23342 西春日井郡豊山町"/>
        <s v="23361 丹羽郡大口町"/>
        <s v="23362 丹羽郡扶桑町"/>
        <s v="23424 海部郡大治町"/>
        <s v="23425 海部郡蟹江町"/>
        <s v="23427 海部郡飛島村"/>
        <s v="23441 知多郡阿久比町"/>
        <s v="23442 知多郡東浦町"/>
        <s v="23445 知多郡南知多町"/>
        <s v="23446 知多郡美浜町"/>
        <s v="23447 知多郡武豊町"/>
        <s v="23501 額田郡幸田町"/>
        <s v="23561 北設楽郡設楽町"/>
        <s v="23562 北設楽郡東栄町"/>
        <s v="23563 北設楽郡豊根村"/>
      </sharedItems>
    </cacheField>
    <cacheField name="産業分類コード" numFmtId="0" sqlType="-8">
      <sharedItems count="56">
        <s v="76"/>
        <s v="78"/>
        <s v="69"/>
        <s v="60"/>
        <s v="06"/>
        <s v="07"/>
        <s v="82"/>
        <s v="72"/>
        <s v="08"/>
        <s v="83"/>
        <s v="59"/>
        <s v="58"/>
        <s v="57"/>
        <s v="74"/>
        <s v="54"/>
        <s v="24"/>
        <s v="26"/>
        <s v="55"/>
        <s v="53"/>
        <s v="68"/>
        <s v="92"/>
        <s v="79"/>
        <s v="85"/>
        <s v="15"/>
        <s v="52"/>
        <s v="39"/>
        <s v="67"/>
        <s v="89"/>
        <s v="25"/>
        <s v="48"/>
        <s v="31"/>
        <s v="11"/>
        <s v="21"/>
        <s v="29"/>
        <s v="32"/>
        <s v="09"/>
        <s v="51"/>
        <s v="18"/>
        <s v="44"/>
        <s v="12"/>
        <s v="75"/>
        <s v="77"/>
        <s v="95"/>
        <s v="80"/>
        <s v="13"/>
        <s v="47"/>
        <s v="88"/>
        <s v="22"/>
        <s v="61"/>
        <s v="90"/>
        <s v="43"/>
        <s v="10"/>
        <s v="17"/>
        <s v="36"/>
        <s v="70"/>
        <s v="91"/>
      </sharedItems>
    </cacheField>
    <cacheField name="産業分類" numFmtId="0" sqlType="-9">
      <sharedItems count="56">
        <s v="飲食店"/>
        <s v="洗濯・理容・美容・浴場業"/>
        <s v="不動産賃貸業・管理業"/>
        <s v="その他の小売業"/>
        <s v="総合工事業"/>
        <s v="職別工事業（設備工事業を除く）"/>
        <s v="その他の教育，学習支援業"/>
        <s v="専門サービス業（他に分類されないもの）"/>
        <s v="設備工事業"/>
        <s v="医療業"/>
        <s v="機械器具小売業"/>
        <s v="飲食料品小売業"/>
        <s v="織物・衣服・身の回り品小売業"/>
        <s v="技術サービス業（他に分類されないもの）"/>
        <s v="機械器具卸売業"/>
        <s v="金属製品製造業"/>
        <s v="生産用機械器具製造業"/>
        <s v="その他の卸売業"/>
        <s v="建築材料，鉱物・金属材料等卸売業"/>
        <s v="不動産取引業"/>
        <s v="その他の事業サービス業"/>
        <s v="その他の生活関連サービス業"/>
        <s v="社会保険・社会福祉・介護事業"/>
        <s v="印刷・同関連業"/>
        <s v="飲食料品卸売業"/>
        <s v="情報サービス業"/>
        <s v="保険業（保険媒介代理業，保険サービス業を含む）"/>
        <s v="自動車整備業"/>
        <s v="はん用機械器具製造業"/>
        <s v="運輸に附帯するサービス業"/>
        <s v="輸送用機械器具製造業"/>
        <s v="繊維工業"/>
        <s v="窯業・土石製品製造業"/>
        <s v="電気機械器具製造業"/>
        <s v="その他の製造業"/>
        <s v="食料品製造業"/>
        <s v="繊維・衣服等卸売業"/>
        <s v="プラスチック製品製造業（別掲を除く）"/>
        <s v="道路貨物運送業"/>
        <s v="木材・木製品製造業（家具を除く）"/>
        <s v="宿泊業"/>
        <s v="持ち帰り・配達飲食サービス業"/>
        <s v="その他のサービス業"/>
        <s v="娯楽業"/>
        <s v="家具・装備品製造業"/>
        <s v="倉庫業"/>
        <s v="廃棄物処理業"/>
        <s v="鉄鋼業"/>
        <s v="無店舗小売業"/>
        <s v="機械等修理業（別掲を除く）"/>
        <s v="道路旅客運送業"/>
        <s v="飲料・たばこ・飼料製造業"/>
        <s v="石油製品・石炭製品製造業"/>
        <s v="水道業"/>
        <s v="物品賃貸業"/>
        <s v="職業紹介・労働者派遣業"/>
      </sharedItems>
    </cacheField>
    <cacheField name="産業中分類" numFmtId="0" sqlType="-9">
      <sharedItems count="56">
        <s v="76 飲食店"/>
        <s v="78 洗濯・理容・美容・浴場業"/>
        <s v="69 不動産賃貸業・管理業"/>
        <s v="60 その他の小売業"/>
        <s v="06 総合工事業"/>
        <s v="07 職別工事業（設備工事業を除く）"/>
        <s v="82 その他の教育，学習支援業"/>
        <s v="72 専門サービス業（他に分類されないもの）"/>
        <s v="08 設備工事業"/>
        <s v="83 医療業"/>
        <s v="59 機械器具小売業"/>
        <s v="58 飲食料品小売業"/>
        <s v="57 織物・衣服・身の回り品小売業"/>
        <s v="74 技術サービス業（他に分類されないもの）"/>
        <s v="54 機械器具卸売業"/>
        <s v="24 金属製品製造業"/>
        <s v="26 生産用機械器具製造業"/>
        <s v="55 その他の卸売業"/>
        <s v="53 建築材料，鉱物・金属材料等卸売業"/>
        <s v="68 不動産取引業"/>
        <s v="92 その他の事業サービス業"/>
        <s v="79 その他の生活関連サービス業"/>
        <s v="85 社会保険・社会福祉・介護事業"/>
        <s v="15 印刷・同関連業"/>
        <s v="52 飲食料品卸売業"/>
        <s v="39 情報サービス業"/>
        <s v="67 保険業（保険媒介代理業，保険サービス業を含む）"/>
        <s v="89 自動車整備業"/>
        <s v="25 はん用機械器具製造業"/>
        <s v="48 運輸に附帯するサービス業"/>
        <s v="31 輸送用機械器具製造業"/>
        <s v="11 繊維工業"/>
        <s v="21 窯業・土石製品製造業"/>
        <s v="29 電気機械器具製造業"/>
        <s v="32 その他の製造業"/>
        <s v="09 食料品製造業"/>
        <s v="51 繊維・衣服等卸売業"/>
        <s v="18 プラスチック製品製造業（別掲を除く）"/>
        <s v="44 道路貨物運送業"/>
        <s v="12 木材・木製品製造業（家具を除く）"/>
        <s v="75 宿泊業"/>
        <s v="77 持ち帰り・配達飲食サービス業"/>
        <s v="95 その他のサービス業"/>
        <s v="80 娯楽業"/>
        <s v="13 家具・装備品製造業"/>
        <s v="47 倉庫業"/>
        <s v="88 廃棄物処理業"/>
        <s v="22 鉄鋼業"/>
        <s v="61 無店舗小売業"/>
        <s v="90 機械等修理業（別掲を除く）"/>
        <s v="43 道路旅客運送業"/>
        <s v="10 飲料・たばこ・飼料製造業"/>
        <s v="17 石油製品・石炭製品製造業"/>
        <s v="36 水道業"/>
        <s v="70 物品賃貸業"/>
        <s v="91 職業紹介・労働者派遣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6699" count="350">
        <n v="16699"/>
        <n v="14712"/>
        <n v="12762"/>
        <n v="8789"/>
        <n v="8029"/>
        <n v="7312"/>
        <n v="7194"/>
        <n v="6307"/>
        <n v="6283"/>
        <n v="5620"/>
        <n v="4946"/>
        <n v="4887"/>
        <n v="3708"/>
        <n v="3485"/>
        <n v="3184"/>
        <n v="3014"/>
        <n v="2870"/>
        <n v="2834"/>
        <n v="2762"/>
        <n v="2604"/>
        <n v="7135"/>
        <n v="5810"/>
        <n v="4875"/>
        <n v="3486"/>
        <n v="2996"/>
        <n v="2324"/>
        <n v="2220"/>
        <n v="2212"/>
        <n v="2151"/>
        <n v="2067"/>
        <n v="1731"/>
        <n v="1546"/>
        <n v="1509"/>
        <n v="1414"/>
        <n v="1402"/>
        <n v="1337"/>
        <n v="1272"/>
        <n v="1189"/>
        <n v="1043"/>
        <n v="1042"/>
        <n v="607"/>
        <n v="540"/>
        <n v="392"/>
        <n v="281"/>
        <n v="263"/>
        <n v="232"/>
        <n v="189"/>
        <n v="135"/>
        <n v="124"/>
        <n v="121"/>
        <n v="119"/>
        <n v="111"/>
        <n v="89"/>
        <n v="87"/>
        <n v="83"/>
        <n v="82"/>
        <n v="76"/>
        <n v="65"/>
        <n v="51"/>
        <n v="402"/>
        <n v="364"/>
        <n v="347"/>
        <n v="219"/>
        <n v="141"/>
        <n v="133"/>
        <n v="120"/>
        <n v="104"/>
        <n v="101"/>
        <n v="90"/>
        <n v="80"/>
        <n v="78"/>
        <n v="71"/>
        <n v="58"/>
        <n v="53"/>
        <n v="52"/>
        <n v="490"/>
        <n v="359"/>
        <n v="331"/>
        <n v="214"/>
        <n v="175"/>
        <n v="172"/>
        <n v="163"/>
        <n v="159"/>
        <n v="132"/>
        <n v="131"/>
        <n v="100"/>
        <n v="93"/>
        <n v="86"/>
        <n v="70"/>
        <n v="68"/>
        <n v="67"/>
        <n v="62"/>
        <n v="511"/>
        <n v="389"/>
        <n v="329"/>
        <n v="204"/>
        <n v="191"/>
        <n v="180"/>
        <n v="177"/>
        <n v="138"/>
        <n v="136"/>
        <n v="108"/>
        <n v="99"/>
        <n v="98"/>
        <n v="94"/>
        <n v="92"/>
        <n v="568"/>
        <n v="460"/>
        <n v="384"/>
        <n v="341"/>
        <n v="266"/>
        <n v="193"/>
        <n v="174"/>
        <n v="169"/>
        <n v="168"/>
        <n v="158"/>
        <n v="144"/>
        <n v="137"/>
        <n v="118"/>
        <n v="112"/>
        <n v="106"/>
        <n v="1600"/>
        <n v="954"/>
        <n v="739"/>
        <n v="481"/>
        <n v="446"/>
        <n v="435"/>
        <n v="310"/>
        <n v="253"/>
        <n v="234"/>
        <n v="224"/>
        <n v="212"/>
        <n v="205"/>
        <n v="202"/>
        <n v="198"/>
        <n v="123"/>
        <n v="335"/>
        <n v="267"/>
        <n v="173"/>
        <n v="162"/>
        <n v="126"/>
        <n v="75"/>
        <n v="73"/>
        <n v="72"/>
        <n v="69"/>
        <n v="55"/>
        <n v="39"/>
        <n v="38"/>
        <n v="410"/>
        <n v="264"/>
        <n v="221"/>
        <n v="145"/>
        <n v="95"/>
        <n v="81"/>
        <n v="50"/>
        <n v="47"/>
        <n v="45"/>
        <n v="43"/>
        <n v="252"/>
        <n v="211"/>
        <n v="146"/>
        <n v="63"/>
        <n v="61"/>
        <n v="60"/>
        <n v="59"/>
        <n v="49"/>
        <n v="48"/>
        <n v="42"/>
        <n v="41"/>
        <n v="448"/>
        <n v="387"/>
        <n v="238"/>
        <n v="237"/>
        <n v="206"/>
        <n v="194"/>
        <n v="185"/>
        <n v="171"/>
        <n v="170"/>
        <n v="167"/>
        <n v="160"/>
        <n v="134"/>
        <n v="122"/>
        <n v="117"/>
        <n v="85"/>
        <n v="330"/>
        <n v="227"/>
        <n v="154"/>
        <n v="115"/>
        <n v="57"/>
        <n v="317"/>
        <n v="316"/>
        <n v="186"/>
        <n v="164"/>
        <n v="142"/>
        <n v="128"/>
        <n v="125"/>
        <n v="79"/>
        <n v="77"/>
        <n v="64"/>
        <n v="54"/>
        <n v="249"/>
        <n v="246"/>
        <n v="225"/>
        <n v="127"/>
        <n v="114"/>
        <n v="102"/>
        <n v="340"/>
        <n v="282"/>
        <n v="200"/>
        <n v="178"/>
        <n v="110"/>
        <n v="88"/>
        <n v="421"/>
        <n v="333"/>
        <n v="187"/>
        <n v="156"/>
        <n v="150"/>
        <n v="56"/>
        <n v="294"/>
        <n v="290"/>
        <n v="272"/>
        <n v="149"/>
        <n v="148"/>
        <n v="46"/>
        <n v="901"/>
        <n v="839"/>
        <n v="515"/>
        <n v="467"/>
        <n v="451"/>
        <n v="351"/>
        <n v="344"/>
        <n v="293"/>
        <n v="277"/>
        <n v="258"/>
        <n v="210"/>
        <n v="143"/>
        <n v="103"/>
        <n v="708"/>
        <n v="703"/>
        <n v="483"/>
        <n v="436"/>
        <n v="417"/>
        <n v="342"/>
        <n v="323"/>
        <n v="289"/>
        <n v="242"/>
        <n v="157"/>
        <n v="107"/>
        <n v="105"/>
        <n v="882"/>
        <n v="831"/>
        <n v="785"/>
        <n v="519"/>
        <n v="506"/>
        <n v="500"/>
        <n v="480"/>
        <n v="382"/>
        <n v="381"/>
        <n v="338"/>
        <n v="239"/>
        <n v="201"/>
        <n v="195"/>
        <n v="152"/>
        <n v="140"/>
        <n v="129"/>
        <n v="96"/>
        <n v="91"/>
        <n v="84"/>
        <n v="314"/>
        <n v="269"/>
        <n v="116"/>
        <n v="40"/>
        <n v="37"/>
        <n v="35"/>
        <n v="577"/>
        <n v="549"/>
        <n v="326"/>
        <n v="300"/>
        <n v="292"/>
        <n v="176"/>
        <n v="256"/>
        <n v="222"/>
        <n v="192"/>
        <n v="182"/>
        <n v="161"/>
        <n v="97"/>
        <n v="66"/>
        <n v="31"/>
        <n v="26"/>
        <n v="24"/>
        <n v="23"/>
        <n v="21"/>
        <n v="34"/>
        <n v="33"/>
        <n v="32"/>
        <n v="113"/>
        <n v="779"/>
        <n v="750"/>
        <n v="514"/>
        <n v="455"/>
        <n v="307"/>
        <n v="298"/>
        <n v="284"/>
        <n v="233"/>
        <n v="203"/>
        <n v="179"/>
        <n v="367"/>
        <n v="325"/>
        <n v="199"/>
        <n v="400"/>
        <n v="278"/>
        <n v="139"/>
        <n v="197"/>
        <n v="184"/>
        <n v="29"/>
        <n v="28"/>
        <n v="27"/>
        <n v="30"/>
        <n v="22"/>
        <n v="20"/>
        <n v="17"/>
        <n v="16"/>
        <n v="109"/>
        <n v="220"/>
        <n v="218"/>
        <n v="165"/>
        <n v="207"/>
        <n v="44"/>
        <n v="25"/>
        <n v="18"/>
        <n v="14"/>
        <n v="13"/>
        <n v="215"/>
        <n v="36"/>
        <n v="74"/>
        <n v="19"/>
        <n v="15"/>
        <n v="12"/>
        <n v="11"/>
        <n v="155"/>
        <n v="9"/>
        <n v="8"/>
        <n v="7"/>
        <n v="10"/>
        <n v="6"/>
        <n v="5"/>
        <n v="3"/>
        <n v="2"/>
        <n v="4"/>
        <n v="1"/>
      </sharedItems>
    </cacheField>
    <cacheField name="構成比" numFmtId="0" sqlType="3">
      <sharedItems containsSemiMixedTypes="0" containsString="0" containsNumber="1" minValue="0.79" maxValue="18.600000000000001" count="604">
        <n v="10.06"/>
        <n v="8.86"/>
        <n v="7.68"/>
        <n v="5.29"/>
        <n v="4.83"/>
        <n v="4.4000000000000004"/>
        <n v="4.33"/>
        <n v="3.8"/>
        <n v="3.78"/>
        <n v="3.38"/>
        <n v="2.98"/>
        <n v="2.94"/>
        <n v="2.23"/>
        <n v="2.1"/>
        <n v="1.92"/>
        <n v="1.81"/>
        <n v="1.73"/>
        <n v="1.71"/>
        <n v="1.66"/>
        <n v="1.57"/>
        <n v="11.35"/>
        <n v="9.24"/>
        <n v="7.75"/>
        <n v="5.54"/>
        <n v="4.76"/>
        <n v="3.7"/>
        <n v="3.53"/>
        <n v="3.52"/>
        <n v="3.42"/>
        <n v="3.29"/>
        <n v="2.75"/>
        <n v="2.46"/>
        <n v="2.4"/>
        <n v="2.25"/>
        <n v="2.13"/>
        <n v="2.02"/>
        <n v="1.89"/>
        <n v="14"/>
        <n v="12.45"/>
        <n v="9.0399999999999991"/>
        <n v="6.48"/>
        <n v="6.07"/>
        <n v="5.35"/>
        <n v="4.3600000000000003"/>
        <n v="3.11"/>
        <n v="2.86"/>
        <n v="2.79"/>
        <n v="2.74"/>
        <n v="2.56"/>
        <n v="2.0499999999999998"/>
        <n v="2.0099999999999998"/>
        <n v="1.91"/>
        <n v="1.75"/>
        <n v="1.5"/>
        <n v="1.18"/>
        <n v="11.79"/>
        <n v="10.68"/>
        <n v="10.18"/>
        <n v="6.42"/>
        <n v="4.1399999999999997"/>
        <n v="3.9"/>
        <n v="3.05"/>
        <n v="2.96"/>
        <n v="2.64"/>
        <n v="2.35"/>
        <n v="2.29"/>
        <n v="2.08"/>
        <n v="1.7"/>
        <n v="1.55"/>
        <n v="1.53"/>
        <n v="11.71"/>
        <n v="8.58"/>
        <n v="7.91"/>
        <n v="5.1100000000000003"/>
        <n v="4.18"/>
        <n v="4.1100000000000003"/>
        <n v="3.89"/>
        <n v="3.15"/>
        <n v="3.13"/>
        <n v="2.39"/>
        <n v="2.2200000000000002"/>
        <n v="1.67"/>
        <n v="1.62"/>
        <n v="1.6"/>
        <n v="1.48"/>
        <n v="10.81"/>
        <n v="8.23"/>
        <n v="6.96"/>
        <n v="4.3099999999999996"/>
        <n v="4.04"/>
        <n v="4"/>
        <n v="3.81"/>
        <n v="3.74"/>
        <n v="2.92"/>
        <n v="2.88"/>
        <n v="2.2799999999999998"/>
        <n v="2.11"/>
        <n v="2.09"/>
        <n v="2.0699999999999998"/>
        <n v="1.99"/>
        <n v="1.97"/>
        <n v="1.95"/>
        <n v="10.83"/>
        <n v="8.77"/>
        <n v="7.32"/>
        <n v="6.5"/>
        <n v="5.07"/>
        <n v="3.68"/>
        <n v="3.32"/>
        <n v="3.28"/>
        <n v="3.22"/>
        <n v="3.2"/>
        <n v="3.01"/>
        <n v="2.61"/>
        <n v="2.5"/>
        <n v="2.14"/>
        <n v="1.72"/>
        <n v="17.87"/>
        <n v="10.66"/>
        <n v="8.25"/>
        <n v="5.37"/>
        <n v="4.9800000000000004"/>
        <n v="4.8600000000000003"/>
        <n v="3.46"/>
        <n v="2.97"/>
        <n v="2.83"/>
        <n v="2.37"/>
        <n v="2.2599999999999998"/>
        <n v="2.21"/>
        <n v="1.61"/>
        <n v="1.52"/>
        <n v="1.39"/>
        <n v="1.37"/>
        <n v="15.92"/>
        <n v="10.88"/>
        <n v="8.67"/>
        <n v="5.62"/>
        <n v="5.26"/>
        <n v="4.09"/>
        <n v="4.03"/>
        <n v="2.99"/>
        <n v="2.44"/>
        <n v="2.34"/>
        <n v="2.2400000000000002"/>
        <n v="2.1800000000000002"/>
        <n v="1.79"/>
        <n v="1.69"/>
        <n v="1.27"/>
        <n v="1.23"/>
        <n v="15.95"/>
        <n v="10.27"/>
        <n v="8.6"/>
        <n v="5.64"/>
        <n v="5.49"/>
        <n v="5.25"/>
        <n v="4.2"/>
        <n v="1.98"/>
        <n v="1.83"/>
        <n v="12.31"/>
        <n v="10.31"/>
        <n v="7.13"/>
        <n v="4.49"/>
        <n v="4.25"/>
        <n v="3.96"/>
        <n v="3.27"/>
        <n v="3.08"/>
        <n v="2.93"/>
        <n v="2.59"/>
        <n v="2"/>
        <n v="1.86"/>
        <n v="9.6199999999999992"/>
        <n v="8.31"/>
        <n v="5.09"/>
        <n v="4.42"/>
        <n v="4.16"/>
        <n v="3.97"/>
        <n v="3.67"/>
        <n v="3.65"/>
        <n v="3.58"/>
        <n v="3.43"/>
        <n v="2.81"/>
        <n v="2.62"/>
        <n v="2.5499999999999998"/>
        <n v="2.5099999999999998"/>
        <n v="1.82"/>
        <n v="10.58"/>
        <n v="7.28"/>
        <n v="5.22"/>
        <n v="4.9400000000000004"/>
        <n v="4.62"/>
        <n v="4.26"/>
        <n v="3.69"/>
        <n v="3.14"/>
        <n v="2.76"/>
        <n v="1.63"/>
        <n v="10.08"/>
        <n v="10.050000000000001"/>
        <n v="5.92"/>
        <n v="5.15"/>
        <n v="4.5199999999999996"/>
        <n v="4.07"/>
        <n v="3.98"/>
        <n v="3.56"/>
        <n v="3.18"/>
        <n v="2.54"/>
        <n v="2.4500000000000002"/>
        <n v="2.04"/>
        <n v="1.65"/>
        <n v="7.94"/>
        <n v="7.84"/>
        <n v="7.17"/>
        <n v="6.44"/>
        <n v="5.9"/>
        <n v="5.42"/>
        <n v="4.59"/>
        <n v="4.05"/>
        <n v="3.64"/>
        <n v="3.44"/>
        <n v="3.25"/>
        <n v="1.56"/>
        <n v="1.43"/>
        <n v="8.98"/>
        <n v="7.45"/>
        <n v="6"/>
        <n v="5.94"/>
        <n v="5.41"/>
        <n v="5.28"/>
        <n v="4.7"/>
        <n v="3.83"/>
        <n v="3.62"/>
        <n v="3.57"/>
        <n v="2.91"/>
        <n v="2.48"/>
        <n v="2.3199999999999998"/>
        <n v="1.9"/>
        <n v="1.77"/>
        <n v="1.51"/>
        <n v="12.65"/>
        <n v="10.01"/>
        <n v="9.9499999999999993"/>
        <n v="5.74"/>
        <n v="4.6900000000000004"/>
        <n v="4.51"/>
        <n v="2.7"/>
        <n v="1.8"/>
        <n v="1.74"/>
        <n v="1.68"/>
        <n v="1.59"/>
        <n v="9.31"/>
        <n v="9.18"/>
        <n v="8.61"/>
        <n v="4.75"/>
        <n v="4.72"/>
        <n v="4.5599999999999996"/>
        <n v="4.46"/>
        <n v="4.24"/>
        <n v="3.99"/>
        <n v="3.51"/>
        <n v="2.63"/>
        <n v="2.41"/>
        <n v="1.58"/>
        <n v="1.46"/>
        <n v="11.2"/>
        <n v="10.43"/>
        <n v="6.4"/>
        <n v="5.8"/>
        <n v="5.61"/>
        <n v="4.28"/>
        <n v="3.5"/>
        <n v="3.31"/>
        <n v="3.21"/>
        <n v="1.78"/>
        <n v="1.28"/>
        <n v="9.75"/>
        <n v="9.68"/>
        <n v="6.65"/>
        <n v="4.71"/>
        <n v="4.45"/>
        <n v="3.33"/>
        <n v="3.1"/>
        <n v="2.82"/>
        <n v="2.16"/>
        <n v="1.96"/>
        <n v="1.47"/>
        <n v="1.45"/>
        <n v="1.4"/>
        <n v="8.8699999999999992"/>
        <n v="8.36"/>
        <n v="7.9"/>
        <n v="7.07"/>
        <n v="5.03"/>
        <n v="3.84"/>
        <n v="3.4"/>
        <n v="1.33"/>
        <n v="1.32"/>
        <n v="12.62"/>
        <n v="7.42"/>
        <n v="7.2"/>
        <n v="5.17"/>
        <n v="4.21"/>
        <n v="3.73"/>
        <n v="3.54"/>
        <n v="3.36"/>
        <n v="1.88"/>
        <n v="1.44"/>
        <n v="11.9"/>
        <n v="10.199999999999999"/>
        <n v="5.99"/>
        <n v="5.91"/>
        <n v="5.76"/>
        <n v="5.16"/>
        <n v="4.0599999999999996"/>
        <n v="3.94"/>
        <n v="3.45"/>
        <n v="10.32"/>
        <n v="9.82"/>
        <n v="5.83"/>
        <n v="5.36"/>
        <n v="5.19"/>
        <n v="5.04"/>
        <n v="4.8099999999999996"/>
        <n v="3.76"/>
        <n v="2.36"/>
        <n v="2.31"/>
        <n v="1.41"/>
        <n v="11.74"/>
        <n v="8.9700000000000006"/>
        <n v="6.89"/>
        <n v="5.98"/>
        <n v="4.9000000000000004"/>
        <n v="4.34"/>
        <n v="3.85"/>
        <n v="3.66"/>
        <n v="2.72"/>
        <n v="2.5299999999999998"/>
        <n v="8.5399999999999991"/>
        <n v="8.2100000000000009"/>
        <n v="7.12"/>
        <n v="6.86"/>
        <n v="6.27"/>
        <n v="4.2699999999999996"/>
        <n v="3.88"/>
        <n v="1.49"/>
        <n v="1.36"/>
        <n v="6.29"/>
        <n v="5.96"/>
        <n v="5.67"/>
        <n v="5.56"/>
        <n v="4.55"/>
        <n v="4.0999999999999996"/>
        <n v="3.6"/>
        <n v="3.26"/>
        <n v="3.03"/>
        <n v="2.19"/>
        <n v="1.85"/>
        <n v="11.3"/>
        <n v="9.5299999999999994"/>
        <n v="8.32"/>
        <n v="5.88"/>
        <n v="3.09"/>
        <n v="11.49"/>
        <n v="11.06"/>
        <n v="7.58"/>
        <n v="6.71"/>
        <n v="4.53"/>
        <n v="4.1900000000000004"/>
        <n v="3.63"/>
        <n v="1.3"/>
        <n v="1.19"/>
        <n v="10.67"/>
        <n v="10.44"/>
        <n v="9.4499999999999993"/>
        <n v="5.79"/>
        <n v="4.92"/>
        <n v="3.93"/>
        <n v="1.54"/>
        <n v="10.25"/>
        <n v="6.38"/>
        <n v="6.08"/>
        <n v="4.95"/>
        <n v="3.41"/>
        <n v="1.87"/>
        <n v="1.64"/>
        <n v="1.31"/>
        <n v="1.26"/>
        <n v="9.27"/>
        <n v="8.66"/>
        <n v="8.4700000000000006"/>
        <n v="7.25"/>
        <n v="6.59"/>
        <n v="4.66"/>
        <n v="3.95"/>
        <n v="3.91"/>
        <n v="2.68"/>
        <n v="1.84"/>
        <n v="11.43"/>
        <n v="8.7899999999999991"/>
        <n v="6.14"/>
        <n v="4.6399999999999997"/>
        <n v="4.5"/>
        <n v="9.1"/>
        <n v="8.9600000000000009"/>
        <n v="7.64"/>
        <n v="7.37"/>
        <n v="4.79"/>
        <n v="4.7300000000000004"/>
        <n v="2.78"/>
        <n v="2.4300000000000002"/>
        <n v="2.15"/>
        <n v="1.1100000000000001"/>
        <n v="11.38"/>
        <n v="10.41"/>
        <n v="5.75"/>
        <n v="4.88"/>
        <n v="4.7699999999999996"/>
        <n v="4.4400000000000004"/>
        <n v="3.04"/>
        <n v="7.22"/>
        <n v="7.16"/>
        <n v="4.17"/>
        <n v="4.01"/>
        <n v="3.48"/>
        <n v="2.17"/>
        <n v="9.8699999999999992"/>
        <n v="9"/>
        <n v="6.91"/>
        <n v="5.82"/>
        <n v="4.43"/>
        <n v="3"/>
        <n v="1.35"/>
        <n v="11.97"/>
        <n v="9.3699999999999992"/>
        <n v="7.98"/>
        <n v="7.89"/>
        <n v="5.72"/>
        <n v="3.82"/>
        <n v="1.21"/>
        <n v="1.1299999999999999"/>
        <n v="7.95"/>
        <n v="5.66"/>
        <n v="5.0199999999999996"/>
        <n v="4.32"/>
        <n v="4.22"/>
        <n v="3.23"/>
        <n v="1.94"/>
        <n v="7.29"/>
        <n v="6.84"/>
        <n v="5.14"/>
        <n v="4.13"/>
        <n v="3.79"/>
        <n v="3.17"/>
        <n v="2.71"/>
        <n v="11.18"/>
        <n v="10.39"/>
        <n v="7.85"/>
        <n v="6.58"/>
        <n v="6.19"/>
        <n v="5.39"/>
        <n v="4.84"/>
        <n v="2.85"/>
        <n v="9.4"/>
        <n v="2.89"/>
        <n v="1.76"/>
        <n v="10.48"/>
        <n v="8.7799999999999994"/>
        <n v="4.29"/>
        <n v="3.47"/>
        <n v="1.29"/>
        <n v="10.72"/>
        <n v="7.23"/>
        <n v="7.11"/>
        <n v="6.06"/>
        <n v="5.71"/>
        <n v="15.63"/>
        <n v="11.81"/>
        <n v="9.0299999999999994"/>
        <n v="7.41"/>
        <n v="9.83"/>
        <n v="8.41"/>
        <n v="6.68"/>
        <n v="5.58"/>
        <n v="5.27"/>
        <n v="4.87"/>
        <n v="3.07"/>
        <n v="1.42"/>
        <n v="9.99"/>
        <n v="9.77"/>
        <n v="6.95"/>
        <n v="6.37"/>
        <n v="4.8499999999999996"/>
        <n v="3.55"/>
        <n v="11.89"/>
        <n v="9.93"/>
        <n v="8.2200000000000006"/>
        <n v="7.08"/>
        <n v="4.8899999999999997"/>
        <n v="2.69"/>
        <n v="1.38"/>
        <n v="1.1399999999999999"/>
        <n v="7.87"/>
        <n v="7.78"/>
        <n v="5.52"/>
        <n v="4.5999999999999996"/>
        <n v="4.0199999999999996"/>
        <n v="7.99"/>
        <n v="7.38"/>
        <n v="6.51"/>
        <n v="6.04"/>
        <n v="4.63"/>
        <n v="3.02"/>
        <n v="7.52"/>
        <n v="5.47"/>
        <n v="6.66"/>
        <n v="6.17"/>
        <n v="5.68"/>
        <n v="4.8"/>
        <n v="2.06"/>
        <n v="12.5"/>
        <n v="8.6199999999999992"/>
        <n v="7.33"/>
        <n v="3.34"/>
        <n v="7.96"/>
        <n v="7.56"/>
        <n v="6.9"/>
        <n v="5.97"/>
        <n v="5.7"/>
        <n v="11.72"/>
        <n v="7.81"/>
        <n v="6.23"/>
        <n v="6.02"/>
        <n v="4.12"/>
        <n v="3.59"/>
        <n v="8.49"/>
        <n v="6.76"/>
        <n v="6.63"/>
        <n v="3.71"/>
        <n v="11.42"/>
        <n v="9.14"/>
        <n v="7.36"/>
        <n v="4.82"/>
        <n v="2.0299999999999998"/>
        <n v="4.99"/>
        <n v="2.38"/>
        <n v="12.46"/>
        <n v="12.11"/>
        <n v="7.44"/>
        <n v="2.77"/>
        <n v="2.6"/>
        <n v="2.42"/>
        <n v="16.13"/>
        <n v="7.47"/>
        <n v="5.43"/>
        <n v="12.56"/>
        <n v="9.42"/>
        <n v="6.74"/>
        <n v="2.67"/>
        <n v="6.05"/>
        <n v="5.69"/>
        <n v="2.4900000000000002"/>
        <n v="9.11"/>
        <n v="8.68"/>
        <n v="5.21"/>
        <n v="9.34"/>
        <n v="6.09"/>
        <n v="4.47"/>
        <n v="2.57"/>
        <n v="10.8"/>
        <n v="10.19"/>
        <n v="7.72"/>
        <n v="4.4800000000000004"/>
        <n v="3.86"/>
        <n v="3.24"/>
        <n v="2.4700000000000002"/>
        <n v="1.08"/>
        <n v="13.54"/>
        <n v="8.48"/>
        <n v="3.61"/>
        <n v="12.14"/>
        <n v="11.84"/>
        <n v="8.4"/>
        <n v="5.55"/>
        <n v="5.4"/>
        <n v="5.0999999999999996"/>
        <n v="4.6500000000000004"/>
        <n v="3.3"/>
        <n v="1.2"/>
        <n v="10.74"/>
        <n v="8.09"/>
        <n v="6.62"/>
        <n v="6.03"/>
        <n v="4.41"/>
        <n v="8.6999999999999993"/>
        <n v="6.83"/>
        <n v="5.59"/>
        <n v="4.97"/>
        <n v="1.24"/>
        <n v="13.49"/>
        <n v="12.7"/>
        <n v="6.35"/>
        <n v="0.79"/>
        <n v="18.600000000000001"/>
        <n v="11.63"/>
        <n v="6.98"/>
        <n v="2.33"/>
      </sharedItems>
    </cacheField>
    <cacheField name="総数（個人）" numFmtId="0" sqlType="4">
      <sharedItems containsSemiMixedTypes="0" containsString="0" containsNumber="1" containsInteger="1" minValue="0" maxValue="13811" count="256">
        <n v="13811"/>
        <n v="11881"/>
        <n v="3846"/>
        <n v="4456"/>
        <n v="1533"/>
        <n v="2235"/>
        <n v="4986"/>
        <n v="3864"/>
        <n v="1111"/>
        <n v="4845"/>
        <n v="2499"/>
        <n v="3062"/>
        <n v="1627"/>
        <n v="1428"/>
        <n v="324"/>
        <n v="835"/>
        <n v="567"/>
        <n v="541"/>
        <n v="372"/>
        <n v="478"/>
        <n v="5689"/>
        <n v="1051"/>
        <n v="3655"/>
        <n v="2034"/>
        <n v="1362"/>
        <n v="1433"/>
        <n v="220"/>
        <n v="307"/>
        <n v="1786"/>
        <n v="191"/>
        <n v="112"/>
        <n v="860"/>
        <n v="497"/>
        <n v="460"/>
        <n v="165"/>
        <n v="96"/>
        <n v="520"/>
        <n v="124"/>
        <n v="85"/>
        <n v="249"/>
        <n v="134"/>
        <n v="420"/>
        <n v="287"/>
        <n v="140"/>
        <n v="125"/>
        <n v="142"/>
        <n v="155"/>
        <n v="47"/>
        <n v="9"/>
        <n v="62"/>
        <n v="53"/>
        <n v="14"/>
        <n v="8"/>
        <n v="5"/>
        <n v="4"/>
        <n v="21"/>
        <n v="17"/>
        <n v="2"/>
        <n v="77"/>
        <n v="213"/>
        <n v="257"/>
        <n v="150"/>
        <n v="54"/>
        <n v="72"/>
        <n v="6"/>
        <n v="1"/>
        <n v="32"/>
        <n v="3"/>
        <n v="44"/>
        <n v="26"/>
        <n v="12"/>
        <n v="438"/>
        <n v="101"/>
        <n v="276"/>
        <n v="22"/>
        <n v="43"/>
        <n v="95"/>
        <n v="116"/>
        <n v="137"/>
        <n v="75"/>
        <n v="39"/>
        <n v="10"/>
        <n v="24"/>
        <n v="25"/>
        <n v="7"/>
        <n v="428"/>
        <n v="89"/>
        <n v="258"/>
        <n v="123"/>
        <n v="34"/>
        <n v="15"/>
        <n v="84"/>
        <n v="18"/>
        <n v="69"/>
        <n v="16"/>
        <n v="27"/>
        <n v="42"/>
        <n v="40"/>
        <n v="402"/>
        <n v="64"/>
        <n v="265"/>
        <n v="169"/>
        <n v="147"/>
        <n v="79"/>
        <n v="33"/>
        <n v="20"/>
        <n v="28"/>
        <n v="19"/>
        <n v="1148"/>
        <n v="598"/>
        <n v="55"/>
        <n v="183"/>
        <n v="255"/>
        <n v="86"/>
        <n v="37"/>
        <n v="92"/>
        <n v="157"/>
        <n v="0"/>
        <n v="153"/>
        <n v="203"/>
        <n v="91"/>
        <n v="76"/>
        <n v="60"/>
        <n v="13"/>
        <n v="30"/>
        <n v="135"/>
        <n v="223"/>
        <n v="167"/>
        <n v="70"/>
        <n v="87"/>
        <n v="59"/>
        <n v="11"/>
        <n v="206"/>
        <n v="106"/>
        <n v="49"/>
        <n v="52"/>
        <n v="50"/>
        <n v="397"/>
        <n v="29"/>
        <n v="51"/>
        <n v="74"/>
        <n v="35"/>
        <n v="136"/>
        <n v="88"/>
        <n v="94"/>
        <n v="45"/>
        <n v="279"/>
        <n v="182"/>
        <n v="23"/>
        <n v="57"/>
        <n v="80"/>
        <n v="261"/>
        <n v="273"/>
        <n v="61"/>
        <n v="38"/>
        <n v="219"/>
        <n v="188"/>
        <n v="236"/>
        <n v="159"/>
        <n v="31"/>
        <n v="65"/>
        <n v="128"/>
        <n v="41"/>
        <n v="247"/>
        <n v="278"/>
        <n v="120"/>
        <n v="71"/>
        <n v="126"/>
        <n v="229"/>
        <n v="228"/>
        <n v="78"/>
        <n v="758"/>
        <n v="729"/>
        <n v="190"/>
        <n v="102"/>
        <n v="224"/>
        <n v="114"/>
        <n v="217"/>
        <n v="144"/>
        <n v="172"/>
        <n v="225"/>
        <n v="156"/>
        <n v="97"/>
        <n v="36"/>
        <n v="595"/>
        <n v="585"/>
        <n v="151"/>
        <n v="93"/>
        <n v="222"/>
        <n v="122"/>
        <n v="242"/>
        <n v="171"/>
        <n v="58"/>
        <n v="174"/>
        <n v="105"/>
        <n v="46"/>
        <n v="796"/>
        <n v="677"/>
        <n v="489"/>
        <n v="141"/>
        <n v="208"/>
        <n v="393"/>
        <n v="282"/>
        <n v="119"/>
        <n v="347"/>
        <n v="184"/>
        <n v="161"/>
        <n v="158"/>
        <n v="166"/>
        <n v="266"/>
        <n v="226"/>
        <n v="82"/>
        <n v="475"/>
        <n v="434"/>
        <n v="81"/>
        <n v="118"/>
        <n v="387"/>
        <n v="148"/>
        <n v="146"/>
        <n v="68"/>
        <n v="111"/>
        <n v="56"/>
        <n v="239"/>
        <n v="197"/>
        <n v="645"/>
        <n v="623"/>
        <n v="193"/>
        <n v="211"/>
        <n v="130"/>
        <n v="129"/>
        <n v="181"/>
        <n v="117"/>
        <n v="202"/>
        <n v="288"/>
        <n v="99"/>
        <n v="352"/>
        <n v="246"/>
        <n v="121"/>
        <n v="133"/>
        <n v="90"/>
        <n v="48"/>
        <n v="170"/>
        <n v="164"/>
        <n v="63"/>
        <n v="98"/>
        <n v="180"/>
        <n v="162"/>
        <n v="173"/>
        <n v="132"/>
        <n v="107"/>
        <n v="66"/>
        <n v="73"/>
        <n v="127"/>
        <n v="83"/>
        <n v="108"/>
        <n v="67"/>
      </sharedItems>
    </cacheField>
    <cacheField name="構成比（個人）" numFmtId="0" sqlType="3">
      <sharedItems containsSemiMixedTypes="0" containsString="0" containsNumber="1" minValue="0" maxValue="39.07" count="698">
        <n v="18.57"/>
        <n v="15.98"/>
        <n v="5.17"/>
        <n v="5.99"/>
        <n v="2.06"/>
        <n v="3.01"/>
        <n v="6.71"/>
        <n v="5.2"/>
        <n v="1.49"/>
        <n v="6.52"/>
        <n v="3.36"/>
        <n v="4.12"/>
        <n v="2.19"/>
        <n v="1.92"/>
        <n v="0.44"/>
        <n v="1.1200000000000001"/>
        <n v="0.76"/>
        <n v="0.73"/>
        <n v="0.5"/>
        <n v="0.64"/>
        <n v="24.21"/>
        <n v="4.47"/>
        <n v="15.55"/>
        <n v="8.66"/>
        <n v="5.8"/>
        <n v="6.1"/>
        <n v="0.94"/>
        <n v="1.31"/>
        <n v="7.6"/>
        <n v="0.81"/>
        <n v="0.48"/>
        <n v="3.66"/>
        <n v="2.11"/>
        <n v="1.96"/>
        <n v="0.7"/>
        <n v="0.41"/>
        <n v="2.21"/>
        <n v="0.53"/>
        <n v="0.36"/>
        <n v="1.06"/>
        <n v="7.7"/>
        <n v="24.12"/>
        <n v="16.48"/>
        <n v="8.0399999999999991"/>
        <n v="7.18"/>
        <n v="8.16"/>
        <n v="8.9"/>
        <n v="2.7"/>
        <n v="0.52"/>
        <n v="3.56"/>
        <n v="3.04"/>
        <n v="0.8"/>
        <n v="0.46"/>
        <n v="0.28999999999999998"/>
        <n v="0.23"/>
        <n v="1.21"/>
        <n v="0.98"/>
        <n v="0.11"/>
        <n v="6.75"/>
        <n v="18.68"/>
        <n v="22.54"/>
        <n v="13.16"/>
        <n v="4.74"/>
        <n v="6.32"/>
        <n v="0.09"/>
        <n v="2.81"/>
        <n v="7.46"/>
        <n v="0.26"/>
        <n v="3.86"/>
        <n v="0.35"/>
        <n v="2.2799999999999998"/>
        <n v="1.23"/>
        <n v="1.05"/>
        <n v="23.99"/>
        <n v="5.53"/>
        <n v="15.12"/>
        <n v="1.2"/>
        <n v="2.35"/>
        <n v="6.35"/>
        <n v="7.5"/>
        <n v="1.1499999999999999"/>
        <n v="4.1100000000000003"/>
        <n v="0.93"/>
        <n v="2.14"/>
        <n v="0.55000000000000004"/>
        <n v="0.33"/>
        <n v="1.37"/>
        <n v="0.38"/>
        <n v="23.54"/>
        <n v="4.9000000000000004"/>
        <n v="14.19"/>
        <n v="5.56"/>
        <n v="6.77"/>
        <n v="1.87"/>
        <n v="0.83"/>
        <n v="6.38"/>
        <n v="4.62"/>
        <n v="0.99"/>
        <n v="3.8"/>
        <n v="0.88"/>
        <n v="2.31"/>
        <n v="1.76"/>
        <n v="0.22"/>
        <n v="2.2000000000000002"/>
        <n v="22.92"/>
        <n v="3.65"/>
        <n v="15.11"/>
        <n v="9.64"/>
        <n v="6.39"/>
        <n v="0.4"/>
        <n v="8.3800000000000008"/>
        <n v="4.5"/>
        <n v="1.88"/>
        <n v="0.86"/>
        <n v="4.8499999999999996"/>
        <n v="0.34"/>
        <n v="0.97"/>
        <n v="1.1399999999999999"/>
        <n v="1.6"/>
        <n v="1.08"/>
        <n v="1.48"/>
        <n v="0.68"/>
        <n v="39.07"/>
        <n v="20.350000000000001"/>
        <n v="6.23"/>
        <n v="8.68"/>
        <n v="2.93"/>
        <n v="0.2"/>
        <n v="0.65"/>
        <n v="1.26"/>
        <n v="3.13"/>
        <n v="0.61"/>
        <n v="5.34"/>
        <n v="0.1"/>
        <n v="0.27"/>
        <n v="0"/>
        <n v="0.24"/>
        <n v="11.71"/>
        <n v="19.66"/>
        <n v="15.53"/>
        <n v="6.96"/>
        <n v="7.04"/>
        <n v="7.27"/>
        <n v="5.81"/>
        <n v="4.59"/>
        <n v="0.69"/>
        <n v="2.6"/>
        <n v="1.07"/>
        <n v="0.54"/>
        <n v="2.2999999999999998"/>
        <n v="1.99"/>
        <n v="0.15"/>
        <n v="11.95"/>
        <n v="19.73"/>
        <n v="14.78"/>
        <n v="8.5"/>
        <n v="6.19"/>
        <n v="7.52"/>
        <n v="5.22"/>
        <n v="0.18"/>
        <n v="0.62"/>
        <n v="1.24"/>
        <n v="1.77"/>
        <n v="1.68"/>
        <n v="26.58"/>
        <n v="10.84"/>
        <n v="13.68"/>
        <n v="0.39"/>
        <n v="4.26"/>
        <n v="1.42"/>
        <n v="6.45"/>
        <n v="3.61"/>
        <n v="1.1599999999999999"/>
        <n v="21.23"/>
        <n v="17.329999999999998"/>
        <n v="1.55"/>
        <n v="4.76"/>
        <n v="2.73"/>
        <n v="0.75"/>
        <n v="3.96"/>
        <n v="4.71"/>
        <n v="0.91"/>
        <n v="5.03"/>
        <n v="3.74"/>
        <n v="2.41"/>
        <n v="26.72"/>
        <n v="17.43"/>
        <n v="1.72"/>
        <n v="5.46"/>
        <n v="1.82"/>
        <n v="0.56999999999999995"/>
        <n v="2.78"/>
        <n v="7.66"/>
        <n v="4.8899999999999997"/>
        <n v="0.96"/>
        <n v="2.4900000000000002"/>
        <n v="1.44"/>
        <n v="21.13"/>
        <n v="22.11"/>
        <n v="1.3"/>
        <n v="1.1299999999999999"/>
        <n v="6.88"/>
        <n v="1.46"/>
        <n v="1.54"/>
        <n v="2.4300000000000002"/>
        <n v="7.69"/>
        <n v="0.89"/>
        <n v="4.9400000000000004"/>
        <n v="3.08"/>
        <n v="3"/>
        <n v="20.07"/>
        <n v="17.23"/>
        <n v="3.21"/>
        <n v="2.66"/>
        <n v="1.74"/>
        <n v="2.02"/>
        <n v="8.8000000000000007"/>
        <n v="4.67"/>
        <n v="3.85"/>
        <n v="5.68"/>
        <n v="7.88"/>
        <n v="1.56"/>
        <n v="2.29"/>
        <n v="1.1000000000000001"/>
        <n v="0.37"/>
        <n v="17.72"/>
        <n v="16.28"/>
        <n v="10.97"/>
        <n v="2"/>
        <n v="1.17"/>
        <n v="4.4800000000000004"/>
        <n v="8.83"/>
        <n v="5.79"/>
        <n v="2.34"/>
        <n v="1.66"/>
        <n v="3.52"/>
        <n v="1.79"/>
        <n v="2.83"/>
        <n v="1.45"/>
        <n v="0.9"/>
        <n v="2.89"/>
        <n v="20.41"/>
        <n v="22.98"/>
        <n v="9.92"/>
        <n v="7.93"/>
        <n v="5.87"/>
        <n v="10.41"/>
        <n v="0.57999999999999996"/>
        <n v="1.4"/>
        <n v="1.98"/>
        <n v="0.66"/>
        <n v="0.17"/>
        <n v="19.57"/>
        <n v="19.489999999999998"/>
        <n v="6.67"/>
        <n v="7.86"/>
        <n v="5.47"/>
        <n v="9.06"/>
        <n v="4.1900000000000004"/>
        <n v="1.03"/>
        <n v="2.65"/>
        <n v="3.5"/>
        <n v="0.77"/>
        <n v="0.43"/>
        <n v="19.55"/>
        <n v="18.8"/>
        <n v="2.63"/>
        <n v="5.78"/>
        <n v="2.94"/>
        <n v="5.6"/>
        <n v="3.71"/>
        <n v="4.4400000000000004"/>
        <n v="1.34"/>
        <n v="4.0199999999999996"/>
        <n v="2.5"/>
        <n v="2.04"/>
        <n v="0.49"/>
        <n v="16.61"/>
        <n v="16.329999999999998"/>
        <n v="4.22"/>
        <n v="6.2"/>
        <n v="3.41"/>
        <n v="6.76"/>
        <n v="4.7699999999999996"/>
        <n v="1.62"/>
        <n v="4.8600000000000003"/>
        <n v="4.33"/>
        <n v="5.33"/>
        <n v="1.01"/>
        <n v="1.65"/>
        <n v="0.67"/>
        <n v="0.42"/>
        <n v="1.28"/>
        <n v="1.59"/>
        <n v="14.9"/>
        <n v="12.67"/>
        <n v="9.15"/>
        <n v="5.1100000000000003"/>
        <n v="2.64"/>
        <n v="3.89"/>
        <n v="7.35"/>
        <n v="5.28"/>
        <n v="2.23"/>
        <n v="6.49"/>
        <n v="3.44"/>
        <n v="4.1500000000000004"/>
        <n v="0.04"/>
        <n v="0.6"/>
        <n v="12.78"/>
        <n v="13.43"/>
        <n v="13.92"/>
        <n v="2.27"/>
        <n v="3.24"/>
        <n v="2.99"/>
        <n v="4.6100000000000003"/>
        <n v="5.26"/>
        <n v="2.67"/>
        <n v="1.86"/>
        <n v="2.5099999999999998"/>
        <n v="1.7"/>
        <n v="0.16"/>
        <n v="16.559999999999999"/>
        <n v="3.37"/>
        <n v="2.12"/>
        <n v="7.4"/>
        <n v="2.0499999999999998"/>
        <n v="6.01"/>
        <n v="4.6900000000000004"/>
        <n v="0.95"/>
        <n v="19.53"/>
        <n v="17.850000000000001"/>
        <n v="2.92"/>
        <n v="9"/>
        <n v="3.33"/>
        <n v="1.85"/>
        <n v="7.03"/>
        <n v="2.1800000000000002"/>
        <n v="0.74"/>
        <n v="0.45"/>
        <n v="20.03"/>
        <n v="14.6"/>
        <n v="2.38"/>
        <n v="4.04"/>
        <n v="7.56"/>
        <n v="5.49"/>
        <n v="1.81"/>
        <n v="3.05"/>
        <n v="13.98"/>
        <n v="13.35"/>
        <n v="6.3"/>
        <n v="5.67"/>
        <n v="10.58"/>
        <n v="4.03"/>
        <n v="5.16"/>
        <n v="6.93"/>
        <n v="1.39"/>
        <n v="2.39"/>
        <n v="0.63"/>
        <n v="13.14"/>
        <n v="6.86"/>
        <n v="9.41"/>
        <n v="6.08"/>
        <n v="2.4500000000000002"/>
        <n v="1.57"/>
        <n v="2.84"/>
        <n v="20.25"/>
        <n v="16.690000000000001"/>
        <n v="6.02"/>
        <n v="6.53"/>
        <n v="7.2"/>
        <n v="1.36"/>
        <n v="1.02"/>
        <n v="3.64"/>
        <n v="3.39"/>
        <n v="3.81"/>
        <n v="1.53"/>
        <n v="0.85"/>
        <n v="1.78"/>
        <n v="19.86"/>
        <n v="19.190000000000001"/>
        <n v="6.07"/>
        <n v="3.26"/>
        <n v="5.94"/>
        <n v="6.5"/>
        <n v="4"/>
        <n v="3.79"/>
        <n v="3.97"/>
        <n v="5.57"/>
        <n v="3.6"/>
        <n v="2.2200000000000002"/>
        <n v="0.71"/>
        <n v="0.28000000000000003"/>
        <n v="0.25"/>
        <n v="11.22"/>
        <n v="15.99"/>
        <n v="15.44"/>
        <n v="6.55"/>
        <n v="2.61"/>
        <n v="3.22"/>
        <n v="5.5"/>
        <n v="3.94"/>
        <n v="1.22"/>
        <n v="1.1100000000000001"/>
        <n v="1.61"/>
        <n v="15.07"/>
        <n v="10.53"/>
        <n v="5.18"/>
        <n v="6.89"/>
        <n v="6.16"/>
        <n v="5.69"/>
        <n v="3.77"/>
        <n v="5.39"/>
        <n v="1.41"/>
        <n v="2.48"/>
        <n v="1.58"/>
        <n v="14.76"/>
        <n v="14.24"/>
        <n v="7.64"/>
        <n v="6.42"/>
        <n v="4.51"/>
        <n v="4.17"/>
        <n v="4.08"/>
        <n v="2.52"/>
        <n v="1.04"/>
        <n v="19.05"/>
        <n v="14.47"/>
        <n v="7.16"/>
        <n v="2.15"/>
        <n v="2.58"/>
        <n v="1.43"/>
        <n v="5.3"/>
        <n v="6.73"/>
        <n v="4.3"/>
        <n v="3.3"/>
        <n v="2.72"/>
        <n v="15.71"/>
        <n v="13.05"/>
        <n v="8.52"/>
        <n v="1.33"/>
        <n v="7.59"/>
        <n v="5.0599999999999996"/>
        <n v="4.66"/>
        <n v="3.46"/>
        <n v="18.93"/>
        <n v="16.36"/>
        <n v="8.44"/>
        <n v="5.86"/>
        <n v="7.82"/>
        <n v="1.95"/>
        <n v="4.53"/>
        <n v="3.09"/>
        <n v="3.4"/>
        <n v="0.51"/>
        <n v="17.309999999999999"/>
        <n v="4.5199999999999996"/>
        <n v="15.58"/>
        <n v="1.83"/>
        <n v="6.15"/>
        <n v="8.75"/>
        <n v="1.25"/>
        <n v="4.2300000000000004"/>
        <n v="4.42"/>
        <n v="0.19"/>
        <n v="16.649999999999999"/>
        <n v="15.32"/>
        <n v="7"/>
        <n v="5.58"/>
        <n v="5.76"/>
        <n v="7.79"/>
        <n v="5.14"/>
        <n v="3.19"/>
        <n v="3.9"/>
        <n v="3.1"/>
        <n v="2.13"/>
        <n v="19.760000000000002"/>
        <n v="6.59"/>
        <n v="11.53"/>
        <n v="5.54"/>
        <n v="2.25"/>
        <n v="1.8"/>
        <n v="1.35"/>
        <n v="2.4"/>
        <n v="0.3"/>
        <n v="19.010000000000002"/>
        <n v="21.53"/>
        <n v="9.16"/>
        <n v="3.78"/>
        <n v="6.99"/>
        <n v="4.3499999999999996"/>
        <n v="17.670000000000002"/>
        <n v="12.03"/>
        <n v="13.41"/>
        <n v="5.64"/>
        <n v="8.27"/>
        <n v="1.38"/>
        <n v="6.14"/>
        <n v="3.63"/>
        <n v="2.0099999999999998"/>
        <n v="1.5"/>
        <n v="17.8"/>
        <n v="17.21"/>
        <n v="2.37"/>
        <n v="7.42"/>
        <n v="7.12"/>
        <n v="1.93"/>
        <n v="19.68"/>
        <n v="9.61"/>
        <n v="0.92"/>
        <n v="6.64"/>
        <n v="6.41"/>
        <n v="2.97"/>
        <n v="8.25"/>
        <n v="15.24"/>
        <n v="9.3699999999999992"/>
        <n v="6.03"/>
        <n v="3.49"/>
        <n v="9.0500000000000007"/>
        <n v="5.08"/>
        <n v="2.54"/>
        <n v="0.79"/>
        <n v="17.34"/>
        <n v="10.99"/>
        <n v="6.34"/>
        <n v="2.75"/>
        <n v="3.17"/>
        <n v="4.6500000000000004"/>
        <n v="2.33"/>
        <n v="1.27"/>
        <n v="1.69"/>
        <n v="16.29"/>
        <n v="20.76"/>
        <n v="13.62"/>
        <n v="10.71"/>
        <n v="6.47"/>
        <n v="2.46"/>
        <n v="4.46"/>
        <n v="3.35"/>
        <n v="9.4700000000000006"/>
        <n v="14.91"/>
        <n v="12.11"/>
        <n v="4.3899999999999997"/>
        <n v="7.37"/>
        <n v="3.68"/>
        <n v="1.75"/>
        <n v="6.72"/>
        <n v="19"/>
        <n v="13.63"/>
        <n v="9.4"/>
        <n v="3.45"/>
        <n v="4.99"/>
        <n v="8.4499999999999993"/>
        <n v="2.69"/>
        <n v="1.73"/>
        <n v="18.170000000000002"/>
        <n v="19.170000000000002"/>
        <n v="8.73"/>
        <n v="4.01"/>
        <n v="8.3000000000000007"/>
        <n v="5.15"/>
        <n v="5.72"/>
        <n v="3.58"/>
        <n v="4.43"/>
        <n v="1.29"/>
        <n v="0.72"/>
        <n v="0.14000000000000001"/>
        <n v="13.01"/>
        <n v="13.17"/>
        <n v="4.7"/>
        <n v="6.27"/>
        <n v="3.92"/>
        <n v="4.55"/>
        <n v="0.78"/>
        <n v="16.5"/>
        <n v="3.07"/>
        <n v="5.83"/>
        <n v="3.88"/>
        <n v="1.94"/>
        <n v="0.32"/>
        <n v="9.19"/>
        <n v="15.28"/>
        <n v="13.42"/>
        <n v="4.0999999999999996"/>
        <n v="6.21"/>
        <n v="3.11"/>
        <n v="2.98"/>
        <n v="0.87"/>
        <n v="11.64"/>
        <n v="7.3"/>
        <n v="3.55"/>
        <n v="4.7300000000000004"/>
        <n v="3.75"/>
        <n v="7.1"/>
        <n v="5.52"/>
        <n v="1.97"/>
        <n v="2.17"/>
        <n v="16.75"/>
        <n v="13.59"/>
        <n v="7.28"/>
        <n v="8.01"/>
        <n v="2.91"/>
        <n v="3.16"/>
        <n v="16.489999999999998"/>
        <n v="8.94"/>
        <n v="12.63"/>
        <n v="2.62"/>
        <n v="5.24"/>
        <n v="2.56"/>
        <n v="13.07"/>
        <n v="11.36"/>
        <n v="17.760000000000002"/>
        <n v="6.85"/>
        <n v="12.15"/>
        <n v="9.66"/>
        <n v="4.9800000000000004"/>
        <n v="8.41"/>
        <n v="4.05"/>
        <n v="3.12"/>
        <n v="19.02"/>
        <n v="15.34"/>
        <n v="13.5"/>
        <n v="4.91"/>
        <n v="4.29"/>
        <n v="1.84"/>
        <n v="17.07"/>
        <n v="2.44"/>
        <n v="4.88"/>
        <n v="19.14"/>
        <n v="16.86"/>
        <n v="8.57"/>
        <n v="8.86"/>
        <n v="3.14"/>
        <n v="2.57"/>
        <n v="1.71"/>
        <n v="2.86"/>
        <n v="3.43"/>
        <n v="24.03"/>
        <n v="14.49"/>
        <n v="12.72"/>
        <n v="2.4700000000000002"/>
        <n v="7.07"/>
        <n v="3.53"/>
        <n v="22.89"/>
        <n v="15.18"/>
        <n v="4.82"/>
        <n v="7.95"/>
        <n v="4.34"/>
        <n v="8.11"/>
        <n v="16.22"/>
        <n v="17.57"/>
        <n v="5.41"/>
        <n v="16.670000000000002"/>
        <n v="15.45"/>
        <n v="8.1300000000000008"/>
        <n v="3.25"/>
        <n v="1.63"/>
        <n v="5.73"/>
        <n v="15.76"/>
        <n v="12.89"/>
        <n v="8.02"/>
        <n v="3.72"/>
        <n v="3.15"/>
        <n v="4.87"/>
        <n v="12.09"/>
        <n v="12.5"/>
        <n v="9.2200000000000006"/>
        <n v="9.02"/>
        <n v="4.92"/>
        <n v="8.4"/>
        <n v="2.87"/>
        <n v="3.28"/>
        <n v="17.239999999999998"/>
        <n v="12.2"/>
        <n v="5.84"/>
        <n v="6.37"/>
        <n v="3.18"/>
        <n v="3.98"/>
        <n v="17.79"/>
        <n v="4.3099999999999996"/>
        <n v="8.09"/>
        <n v="3.23"/>
        <n v="5.93"/>
        <n v="2.96"/>
        <n v="12.83"/>
        <n v="2.88"/>
        <n v="6.54"/>
        <n v="2.09"/>
        <n v="4.45"/>
        <n v="3.93"/>
        <n v="14.29"/>
        <n v="17.350000000000001"/>
        <n v="5.0999999999999996"/>
        <n v="9.18"/>
        <n v="10.75"/>
        <n v="8.6"/>
        <n v="5.38"/>
        <n v="28.57"/>
        <n v="7.14"/>
        <n v="3.57"/>
      </sharedItems>
    </cacheField>
    <cacheField name="総数（法人）" numFmtId="0" sqlType="4">
      <sharedItems containsSemiMixedTypes="0" containsString="0" containsNumber="1" containsInteger="1" minValue="0" maxValue="8891" count="242">
        <n v="2882"/>
        <n v="2830"/>
        <n v="8891"/>
        <n v="4330"/>
        <n v="6494"/>
        <n v="5074"/>
        <n v="2016"/>
        <n v="2431"/>
        <n v="5171"/>
        <n v="775"/>
        <n v="2447"/>
        <n v="1813"/>
        <n v="2080"/>
        <n v="2040"/>
        <n v="2860"/>
        <n v="2179"/>
        <n v="2303"/>
        <n v="2292"/>
        <n v="2390"/>
        <n v="2125"/>
        <n v="1446"/>
        <n v="4745"/>
        <n v="1220"/>
        <n v="1633"/>
        <n v="873"/>
        <n v="2000"/>
        <n v="1903"/>
        <n v="365"/>
        <n v="1876"/>
        <n v="1619"/>
        <n v="683"/>
        <n v="1012"/>
        <n v="951"/>
        <n v="1237"/>
        <n v="1241"/>
        <n v="752"/>
        <n v="1065"/>
        <n v="941"/>
        <n v="793"/>
        <n v="472"/>
        <n v="120"/>
        <n v="105"/>
        <n v="141"/>
        <n v="138"/>
        <n v="90"/>
        <n v="34"/>
        <n v="88"/>
        <n v="115"/>
        <n v="59"/>
        <n v="66"/>
        <n v="97"/>
        <n v="81"/>
        <n v="82"/>
        <n v="74"/>
        <n v="75"/>
        <n v="54"/>
        <n v="48"/>
        <n v="49"/>
        <n v="324"/>
        <n v="151"/>
        <n v="69"/>
        <n v="87"/>
        <n v="60"/>
        <n v="114"/>
        <n v="103"/>
        <n v="72"/>
        <n v="19"/>
        <n v="93"/>
        <n v="36"/>
        <n v="73"/>
        <n v="63"/>
        <n v="45"/>
        <n v="44"/>
        <n v="41"/>
        <n v="52"/>
        <n v="257"/>
        <n v="55"/>
        <n v="210"/>
        <n v="171"/>
        <n v="80"/>
        <n v="56"/>
        <n v="26"/>
        <n v="57"/>
        <n v="83"/>
        <n v="50"/>
        <n v="76"/>
        <n v="64"/>
        <n v="43"/>
        <n v="58"/>
        <n v="300"/>
        <n v="71"/>
        <n v="169"/>
        <n v="65"/>
        <n v="146"/>
        <n v="162"/>
        <n v="25"/>
        <n v="128"/>
        <n v="51"/>
        <n v="39"/>
        <n v="84"/>
        <n v="62"/>
        <n v="89"/>
        <n v="166"/>
        <n v="393"/>
        <n v="119"/>
        <n v="154"/>
        <n v="186"/>
        <n v="27"/>
        <n v="136"/>
        <n v="153"/>
        <n v="143"/>
        <n v="67"/>
        <n v="111"/>
        <n v="106"/>
        <n v="86"/>
        <n v="78"/>
        <n v="452"/>
        <n v="354"/>
        <n v="682"/>
        <n v="298"/>
        <n v="191"/>
        <n v="349"/>
        <n v="304"/>
        <n v="260"/>
        <n v="234"/>
        <n v="196"/>
        <n v="127"/>
        <n v="188"/>
        <n v="199"/>
        <n v="190"/>
        <n v="110"/>
        <n v="123"/>
        <n v="116"/>
        <n v="336"/>
        <n v="31"/>
        <n v="61"/>
        <n v="37"/>
        <n v="40"/>
        <n v="24"/>
        <n v="275"/>
        <n v="21"/>
        <n v="70"/>
        <n v="33"/>
        <n v="46"/>
        <n v="35"/>
        <n v="30"/>
        <n v="10"/>
        <n v="29"/>
        <n v="32"/>
        <n v="28"/>
        <n v="38"/>
        <n v="226"/>
        <n v="204"/>
        <n v="177"/>
        <n v="134"/>
        <n v="157"/>
        <n v="96"/>
        <n v="132"/>
        <n v="47"/>
        <n v="79"/>
        <n v="145"/>
        <n v="140"/>
        <n v="121"/>
        <n v="104"/>
        <n v="6"/>
        <n v="170"/>
        <n v="150"/>
        <n v="77"/>
        <n v="124"/>
        <n v="109"/>
        <n v="95"/>
        <n v="17"/>
        <n v="22"/>
        <n v="189"/>
        <n v="173"/>
        <n v="148"/>
        <n v="16"/>
        <n v="53"/>
        <n v="175"/>
        <n v="101"/>
        <n v="100"/>
        <n v="68"/>
        <n v="384"/>
        <n v="91"/>
        <n v="85"/>
        <n v="117"/>
        <n v="129"/>
        <n v="273"/>
        <n v="133"/>
        <n v="135"/>
        <n v="20"/>
        <n v="325"/>
        <n v="227"/>
        <n v="236"/>
        <n v="149"/>
        <n v="225"/>
        <n v="102"/>
        <n v="113"/>
        <n v="98"/>
        <n v="94"/>
        <n v="331"/>
        <n v="343"/>
        <n v="195"/>
        <n v="220"/>
        <n v="118"/>
        <n v="209"/>
        <n v="296"/>
        <n v="430"/>
        <n v="378"/>
        <n v="92"/>
        <n v="198"/>
        <n v="263"/>
        <n v="165"/>
        <n v="184"/>
        <n v="23"/>
        <n v="112"/>
        <n v="18"/>
        <n v="229"/>
        <n v="208"/>
        <n v="237"/>
        <n v="108"/>
        <n v="176"/>
        <n v="42"/>
        <n v="13"/>
        <n v="12"/>
        <n v="5"/>
        <n v="14"/>
        <n v="15"/>
        <n v="7"/>
        <n v="4"/>
        <n v="126"/>
        <n v="317"/>
        <n v="168"/>
        <n v="233"/>
        <n v="122"/>
        <n v="11"/>
        <n v="8"/>
        <n v="9"/>
        <n v="3"/>
        <n v="2"/>
        <n v="1"/>
        <n v="0"/>
      </sharedItems>
    </cacheField>
    <cacheField name="構成比（法人）" numFmtId="0" sqlType="3">
      <sharedItems containsSemiMixedTypes="0" containsString="0" containsNumber="1" minValue="0" maxValue="20.69" count="592">
        <n v="3.17"/>
        <n v="3.11"/>
        <n v="9.7799999999999994"/>
        <n v="4.76"/>
        <n v="7.14"/>
        <n v="5.58"/>
        <n v="2.2200000000000002"/>
        <n v="2.67"/>
        <n v="5.69"/>
        <n v="0.85"/>
        <n v="2.69"/>
        <n v="1.99"/>
        <n v="2.29"/>
        <n v="2.2400000000000002"/>
        <n v="3.15"/>
        <n v="2.4"/>
        <n v="2.5299999999999998"/>
        <n v="2.52"/>
        <n v="2.63"/>
        <n v="2.34"/>
        <n v="3.68"/>
        <n v="12.08"/>
        <n v="4.16"/>
        <n v="5.09"/>
        <n v="4.84"/>
        <n v="0.93"/>
        <n v="4.78"/>
        <n v="4.12"/>
        <n v="1.74"/>
        <n v="2.58"/>
        <n v="2.42"/>
        <n v="3.16"/>
        <n v="1.91"/>
        <n v="2.71"/>
        <n v="2.02"/>
        <n v="18.22"/>
        <n v="4.63"/>
        <n v="4.05"/>
        <n v="5.44"/>
        <n v="5.33"/>
        <n v="3.47"/>
        <n v="1.31"/>
        <n v="3.4"/>
        <n v="4.4400000000000004"/>
        <n v="2.2799999999999998"/>
        <n v="2.5499999999999998"/>
        <n v="3.75"/>
        <n v="3.13"/>
        <n v="2.86"/>
        <n v="2.9"/>
        <n v="2.08"/>
        <n v="1.85"/>
        <n v="1.89"/>
        <n v="14.32"/>
        <n v="6.68"/>
        <n v="3.98"/>
        <n v="3.05"/>
        <n v="3.85"/>
        <n v="2.65"/>
        <n v="5.04"/>
        <n v="4.55"/>
        <n v="3.18"/>
        <n v="0.84"/>
        <n v="4.1100000000000003"/>
        <n v="1.59"/>
        <n v="3.27"/>
        <n v="3.23"/>
        <n v="2.79"/>
        <n v="1.95"/>
        <n v="1.81"/>
        <n v="2.17"/>
        <n v="2.21"/>
        <n v="10.92"/>
        <n v="8.92"/>
        <n v="7.27"/>
        <n v="2.38"/>
        <n v="1.1000000000000001"/>
        <n v="5.86"/>
        <n v="1.53"/>
        <n v="3.53"/>
        <n v="2.12"/>
        <n v="2.72"/>
        <n v="1.83"/>
        <n v="2.46"/>
        <n v="10.33"/>
        <n v="2.44"/>
        <n v="3.55"/>
        <n v="5.82"/>
        <n v="5.03"/>
        <n v="0.86"/>
        <n v="4.41"/>
        <n v="1.76"/>
        <n v="1.34"/>
        <n v="2.89"/>
        <n v="2.48"/>
        <n v="1.96"/>
        <n v="2.13"/>
        <n v="3.06"/>
        <n v="1.79"/>
        <n v="11.32"/>
        <n v="3.43"/>
        <n v="4.92"/>
        <n v="4.43"/>
        <n v="5.36"/>
        <n v="0.78"/>
        <n v="2.68"/>
        <n v="3.92"/>
        <n v="1.93"/>
        <n v="3.97"/>
        <n v="3.46"/>
        <n v="3.2"/>
        <n v="1.9"/>
        <n v="2.25"/>
        <n v="7.55"/>
        <n v="5.91"/>
        <n v="11.39"/>
        <n v="4.97"/>
        <n v="3.19"/>
        <n v="5.83"/>
        <n v="5.08"/>
        <n v="4.34"/>
        <n v="3.91"/>
        <n v="3.14"/>
        <n v="0.8"/>
        <n v="3.32"/>
        <n v="1.45"/>
        <n v="2.35"/>
        <n v="1.84"/>
        <n v="2.0499999999999998"/>
        <n v="1.94"/>
        <n v="19"/>
        <n v="3.62"/>
        <n v="4.6399999999999997"/>
        <n v="3.9"/>
        <n v="1.75"/>
        <n v="2.4900000000000002"/>
        <n v="4.6900000000000004"/>
        <n v="2.94"/>
        <n v="3.45"/>
        <n v="3.39"/>
        <n v="2.09"/>
        <n v="2.2599999999999998"/>
        <n v="1.47"/>
        <n v="1.36"/>
        <n v="19.100000000000001"/>
        <n v="2.85"/>
        <n v="4.93"/>
        <n v="1.46"/>
        <n v="2.5"/>
        <n v="4.8600000000000003"/>
        <n v="4.79"/>
        <n v="2.99"/>
        <n v="1.32"/>
        <n v="2.36"/>
        <n v="3.63"/>
        <n v="10.02"/>
        <n v="2.76"/>
        <n v="6.15"/>
        <n v="2.37"/>
        <n v="3.94"/>
        <n v="4.42"/>
        <n v="0.79"/>
        <n v="3.79"/>
        <n v="1.66"/>
        <n v="3"/>
        <n v="8.11"/>
        <n v="7.32"/>
        <n v="6.35"/>
        <n v="3.77"/>
        <n v="4.8099999999999996"/>
        <n v="5.63"/>
        <n v="3.44"/>
        <n v="4.74"/>
        <n v="1.65"/>
        <n v="4.09"/>
        <n v="1"/>
        <n v="1.69"/>
        <n v="2.83"/>
        <n v="1.58"/>
        <n v="1.97"/>
        <n v="7.01"/>
        <n v="6.77"/>
        <n v="6.81"/>
        <n v="5.85"/>
        <n v="3.67"/>
        <n v="3.82"/>
        <n v="4.2"/>
        <n v="2.75"/>
        <n v="0.28999999999999998"/>
        <n v="1.26"/>
        <n v="2.27"/>
        <n v="7.87"/>
        <n v="4.04"/>
        <n v="6.51"/>
        <n v="5.72"/>
        <n v="4.99"/>
        <n v="0.89"/>
        <n v="4.67"/>
        <n v="1.68"/>
        <n v="2.15"/>
        <n v="1.1499999999999999"/>
        <n v="2.84"/>
        <n v="9.26"/>
        <n v="8.4700000000000006"/>
        <n v="8.1300000000000008"/>
        <n v="7.25"/>
        <n v="3.04"/>
        <n v="2.11"/>
        <n v="2.6"/>
        <n v="1.57"/>
        <n v="2.0099999999999998"/>
        <n v="3.56"/>
        <n v="8.41"/>
        <n v="8.07"/>
        <n v="7.51"/>
        <n v="6.26"/>
        <n v="0.73"/>
        <n v="4.33"/>
        <n v="4.29"/>
        <n v="2.92"/>
        <n v="2.57"/>
        <n v="2.66"/>
        <n v="1.37"/>
        <n v="2.19"/>
        <n v="18.16"/>
        <n v="4.07"/>
        <n v="2.5099999999999998"/>
        <n v="3.31"/>
        <n v="4.3"/>
        <n v="4.0199999999999996"/>
        <n v="1.1299999999999999"/>
        <n v="6.52"/>
        <n v="5.53"/>
        <n v="6.1"/>
        <n v="3.12"/>
        <n v="3.74"/>
        <n v="3.78"/>
        <n v="3.26"/>
        <n v="1.7"/>
        <n v="1.18"/>
        <n v="13.74"/>
        <n v="3.07"/>
        <n v="6.69"/>
        <n v="6.79"/>
        <n v="3.52"/>
        <n v="6.44"/>
        <n v="2.4700000000000002"/>
        <n v="1.01"/>
        <n v="2.62"/>
        <n v="1.71"/>
        <n v="2.77"/>
        <n v="2.3199999999999998"/>
        <n v="2.06"/>
        <n v="7.86"/>
        <n v="8.83"/>
        <n v="5.49"/>
        <n v="5.71"/>
        <n v="3.61"/>
        <n v="0.99"/>
        <n v="2.73"/>
        <n v="2.81"/>
        <n v="0.92"/>
        <n v="3.1"/>
        <n v="9.09"/>
        <n v="9.42"/>
        <n v="6.04"/>
        <n v="3.24"/>
        <n v="5.74"/>
        <n v="2.23"/>
        <n v="1.54"/>
        <n v="1.24"/>
        <n v="1.88"/>
        <n v="3.37"/>
        <n v="6.48"/>
        <n v="8.2799999999999994"/>
        <n v="6.53"/>
        <n v="5.76"/>
        <n v="0.74"/>
        <n v="1.64"/>
        <n v="1.73"/>
        <n v="0.81"/>
        <n v="12.66"/>
        <n v="2.41"/>
        <n v="4.47"/>
        <n v="7.71"/>
        <n v="6.13"/>
        <n v="5.3"/>
        <n v="5.0199999999999996"/>
        <n v="4.82"/>
        <n v="3.51"/>
        <n v="0.41"/>
        <n v="1.17"/>
        <n v="1.38"/>
        <n v="1.86"/>
        <n v="1.72"/>
        <n v="3.81"/>
        <n v="3.41"/>
        <n v="8.89"/>
        <n v="5.32"/>
        <n v="9.76"/>
        <n v="2.78"/>
        <n v="6.98"/>
        <n v="1.98"/>
        <n v="1.27"/>
        <n v="2.14"/>
        <n v="1.43"/>
        <n v="2.2999999999999998"/>
        <n v="1.67"/>
        <n v="3.65"/>
        <n v="9.3800000000000008"/>
        <n v="7.26"/>
        <n v="2.31"/>
        <n v="6.59"/>
        <n v="4.9800000000000004"/>
        <n v="3.84"/>
        <n v="3.08"/>
        <n v="1.49"/>
        <n v="2.54"/>
        <n v="1.3"/>
        <n v="2.16"/>
        <n v="6.14"/>
        <n v="10"/>
        <n v="2.33"/>
        <n v="6.02"/>
        <n v="5.97"/>
        <n v="0.91"/>
        <n v="4.1500000000000004"/>
        <n v="2.56"/>
        <n v="1.42"/>
        <n v="2.39"/>
        <n v="8.15"/>
        <n v="8.2899999999999991"/>
        <n v="1.63"/>
        <n v="6.39"/>
        <n v="0.68"/>
        <n v="6.25"/>
        <n v="4.4800000000000004"/>
        <n v="2.4500000000000002"/>
        <n v="1.77"/>
        <n v="5.61"/>
        <n v="4.68"/>
        <n v="8.02"/>
        <n v="8.82"/>
        <n v="5.21"/>
        <n v="0.67"/>
        <n v="5.35"/>
        <n v="3.21"/>
        <n v="0.94"/>
        <n v="0.53"/>
        <n v="10.199999999999999"/>
        <n v="5.37"/>
        <n v="4.83"/>
        <n v="6.12"/>
        <n v="5.0999999999999996"/>
        <n v="0.82"/>
        <n v="3.88"/>
        <n v="2.93"/>
        <n v="2.1800000000000002"/>
        <n v="3.83"/>
        <n v="3.6"/>
        <n v="9.06"/>
        <n v="9.98"/>
        <n v="4.8"/>
        <n v="6.66"/>
        <n v="2.97"/>
        <n v="0.63"/>
        <n v="10.14"/>
        <n v="4.3600000000000003"/>
        <n v="7.49"/>
        <n v="4.7300000000000004"/>
        <n v="1.1100000000000001"/>
        <n v="10.37"/>
        <n v="5.81"/>
        <n v="5.75"/>
        <n v="3.3"/>
        <n v="0.46"/>
        <n v="2.64"/>
        <n v="2.91"/>
        <n v="9.1199999999999992"/>
        <n v="9.65"/>
        <n v="5.51"/>
        <n v="8.06"/>
        <n v="4.5599999999999996"/>
        <n v="3.29"/>
        <n v="1.06"/>
        <n v="1.8"/>
        <n v="3.8"/>
        <n v="7.3"/>
        <n v="6.57"/>
        <n v="2.04"/>
        <n v="0.57999999999999996"/>
        <n v="4.2300000000000004"/>
        <n v="1.02"/>
        <n v="4.57"/>
        <n v="6.63"/>
        <n v="6.19"/>
        <n v="8.69"/>
        <n v="1.62"/>
        <n v="5.15"/>
        <n v="0.59"/>
        <n v="3.02"/>
        <n v="9.2899999999999991"/>
        <n v="6.16"/>
        <n v="1.39"/>
        <n v="7.2"/>
        <n v="5.57"/>
        <n v="8.52"/>
        <n v="5.16"/>
        <n v="5.1100000000000003"/>
        <n v="4.66"/>
        <n v="0.4"/>
        <n v="2.96"/>
        <n v="2.61"/>
        <n v="6.11"/>
        <n v="9.25"/>
        <n v="1.22"/>
        <n v="4.01"/>
        <n v="1.4"/>
        <n v="1.28"/>
        <n v="14.93"/>
        <n v="10.23"/>
        <n v="4.26"/>
        <n v="1.92"/>
        <n v="9.81"/>
        <n v="8.2100000000000009"/>
        <n v="6.07"/>
        <n v="4.1900000000000004"/>
        <n v="0.71"/>
        <n v="1.61"/>
        <n v="3.03"/>
        <n v="6.75"/>
        <n v="9.9700000000000006"/>
        <n v="3.01"/>
        <n v="1.25"/>
        <n v="1.87"/>
        <n v="1.56"/>
        <n v="3.7"/>
        <n v="6.88"/>
        <n v="10.76"/>
        <n v="11.82"/>
        <n v="8.99"/>
        <n v="0.88"/>
        <n v="1.41"/>
        <n v="2.87"/>
        <n v="6.31"/>
        <n v="11.09"/>
        <n v="8.8000000000000007"/>
        <n v="0.56999999999999995"/>
        <n v="4.4000000000000004"/>
        <n v="9.33"/>
        <n v="11.76"/>
        <n v="4.6100000000000003"/>
        <n v="8.24"/>
        <n v="6.3"/>
        <n v="1.21"/>
        <n v="1.82"/>
        <n v="8.66"/>
        <n v="8.4"/>
        <n v="4.72"/>
        <n v="1.05"/>
        <n v="2.1"/>
        <n v="14.98"/>
        <n v="3.86"/>
        <n v="5.07"/>
        <n v="5.31"/>
        <n v="10.19"/>
        <n v="6.74"/>
        <n v="8.0299999999999994"/>
        <n v="4.88"/>
        <n v="7.17"/>
        <n v="1.29"/>
        <n v="3.73"/>
        <n v="12.05"/>
        <n v="4.21"/>
        <n v="10.29"/>
        <n v="6.55"/>
        <n v="5.6"/>
        <n v="12.2"/>
        <n v="14.6"/>
        <n v="5.8"/>
        <n v="1.2"/>
        <n v="2.8"/>
        <n v="4.5999999999999996"/>
        <n v="0.2"/>
        <n v="10.130000000000001"/>
        <n v="7.96"/>
        <n v="6.33"/>
        <n v="3.25"/>
        <n v="1.08"/>
        <n v="0.72"/>
        <n v="4.7"/>
        <n v="9.08"/>
        <n v="8.5"/>
        <n v="3.49"/>
        <n v="6.29"/>
        <n v="7.22"/>
        <n v="0.47"/>
        <n v="4.3099999999999996"/>
        <n v="1.51"/>
        <n v="9.4600000000000009"/>
        <n v="3.93"/>
        <n v="0.96"/>
        <n v="2.98"/>
        <n v="8.16"/>
        <n v="0.61"/>
        <n v="4.49"/>
        <n v="9.73"/>
        <n v="11.59"/>
        <n v="2.0699999999999998"/>
        <n v="5.59"/>
        <n v="6.21"/>
        <n v="0.62"/>
        <n v="0.83"/>
        <n v="11.24"/>
        <n v="9.35"/>
        <n v="8.76"/>
        <n v="11.15"/>
        <n v="10.98"/>
        <n v="3.89"/>
        <n v="7.09"/>
        <n v="2.7"/>
        <n v="0.51"/>
        <n v="1.52"/>
        <n v="2.0299999999999998"/>
        <n v="2.2000000000000002"/>
        <n v="6.71"/>
        <n v="8.1"/>
        <n v="5.79"/>
        <n v="0.23"/>
        <n v="0.69"/>
        <n v="6.09"/>
        <n v="11.74"/>
        <n v="4.3499999999999996"/>
        <n v="0.87"/>
        <n v="3.48"/>
        <n v="0.43"/>
        <n v="10.32"/>
        <n v="7.54"/>
        <n v="1.19"/>
        <n v="5.95"/>
        <n v="5.94"/>
        <n v="8.2200000000000006"/>
        <n v="7.76"/>
        <n v="2.74"/>
        <n v="8.91"/>
        <n v="14.19"/>
        <n v="11.55"/>
        <n v="8.25"/>
        <n v="3.96"/>
        <n v="0.33"/>
        <n v="9.07"/>
        <n v="12.09"/>
        <n v="6.05"/>
        <n v="1.1599999999999999"/>
        <n v="10.34"/>
        <n v="6.4"/>
        <n v="8.8699999999999992"/>
        <n v="7.88"/>
        <n v="0.49"/>
        <n v="5.42"/>
        <n v="9.48"/>
        <n v="12.8"/>
        <n v="0"/>
        <n v="4.2699999999999996"/>
        <n v="0.95"/>
        <n v="12.89"/>
        <n v="6.32"/>
        <n v="6.58"/>
        <n v="5.26"/>
        <n v="3.42"/>
        <n v="6.49"/>
        <n v="15.58"/>
        <n v="0.65"/>
        <n v="5.19"/>
        <n v="9.4700000000000006"/>
        <n v="7.1"/>
        <n v="7.69"/>
        <n v="4.1399999999999997"/>
        <n v="13.75"/>
        <n v="6.87"/>
        <n v="3.09"/>
        <n v="12.46"/>
        <n v="5.54"/>
        <n v="7.61"/>
        <n v="4.5"/>
        <n v="16.36"/>
        <n v="5.45"/>
        <n v="3.64"/>
        <n v="13.79"/>
        <n v="20.69"/>
        <n v="6.9"/>
        <n v="18.18"/>
      </sharedItems>
    </cacheField>
    <cacheField name="総数（法人以外の団体）" numFmtId="0" sqlType="4">
      <sharedItems containsSemiMixedTypes="0" containsString="0" containsNumber="1" containsInteger="1" minValue="0" maxValue="44" count="12">
        <n v="6"/>
        <n v="1"/>
        <n v="18"/>
        <n v="3"/>
        <n v="2"/>
        <n v="44"/>
        <n v="12"/>
        <n v="0"/>
        <n v="14"/>
        <n v="5"/>
        <n v="4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6364351849" createdVersion="5" refreshedVersion="8" minRefreshableVersion="3" recordCount="1517" xr:uid="{DD6B75A5-2A4B-401A-B677-684635361702}">
  <cacheSource type="external" connectionId="3"/>
  <cacheFields count="14">
    <cacheField name="都道府県" numFmtId="0" sqlType="-9">
      <sharedItems count="1">
        <s v="23 愛知県"/>
      </sharedItems>
    </cacheField>
    <cacheField name="自治体名" numFmtId="0" sqlType="-9">
      <sharedItems count="71">
        <s v="愛知県"/>
        <s v="名古屋市"/>
        <s v="名古屋市千種区"/>
        <s v="名古屋市東区"/>
        <s v="名古屋市北区"/>
        <s v="名古屋市西区"/>
        <s v="名古屋市中村区"/>
        <s v="名古屋市中区"/>
        <s v="名古屋市昭和区"/>
        <s v="名古屋市瑞穂区"/>
        <s v="名古屋市熱田区"/>
        <s v="名古屋市中川区"/>
        <s v="名古屋市港区"/>
        <s v="名古屋市南区"/>
        <s v="名古屋市守山区"/>
        <s v="名古屋市緑区"/>
        <s v="名古屋市名東区"/>
        <s v="名古屋市天白区"/>
        <s v="豊橋市"/>
        <s v="岡崎市"/>
        <s v="一宮市"/>
        <s v="瀬戸市"/>
        <s v="半田市"/>
        <s v="春日井市"/>
        <s v="豊川市"/>
        <s v="津島市"/>
        <s v="碧南市"/>
        <s v="刈谷市"/>
        <s v="豊田市"/>
        <s v="安城市"/>
        <s v="西尾市"/>
        <s v="蒲郡市"/>
        <s v="犬山市"/>
        <s v="常滑市"/>
        <s v="江南市"/>
        <s v="小牧市"/>
        <s v="稲沢市"/>
        <s v="新城市"/>
        <s v="東海市"/>
        <s v="大府市"/>
        <s v="知多市"/>
        <s v="知立市"/>
        <s v="尾張旭市"/>
        <s v="高浜市"/>
        <s v="岩倉市"/>
        <s v="豊明市"/>
        <s v="日進市"/>
        <s v="田原市"/>
        <s v="愛西市"/>
        <s v="清須市"/>
        <s v="北名古屋市"/>
        <s v="弥富市"/>
        <s v="みよし市"/>
        <s v="あま市"/>
        <s v="長久手市"/>
        <s v="愛知郡東郷町"/>
        <s v="西春日井郡豊山町"/>
        <s v="丹羽郡大口町"/>
        <s v="丹羽郡扶桑町"/>
        <s v="海部郡大治町"/>
        <s v="海部郡蟹江町"/>
        <s v="海部郡飛島村"/>
        <s v="知多郡阿久比町"/>
        <s v="知多郡東浦町"/>
        <s v="知多郡南知多町"/>
        <s v="知多郡美浜町"/>
        <s v="知多郡武豊町"/>
        <s v="額田郡幸田町"/>
        <s v="北設楽郡設楽町"/>
        <s v="北設楽郡東栄町"/>
        <s v="北設楽郡豊根村"/>
      </sharedItems>
    </cacheField>
    <cacheField name="自治体" numFmtId="0" sqlType="-9">
      <sharedItems count="71">
        <s v="23000 愛知県"/>
        <s v="23100 名古屋市"/>
        <s v="23101 名古屋市千種区"/>
        <s v="23102 名古屋市東区"/>
        <s v="23103 名古屋市北区"/>
        <s v="23104 名古屋市西区"/>
        <s v="23105 名古屋市中村区"/>
        <s v="23106 名古屋市中区"/>
        <s v="23107 名古屋市昭和区"/>
        <s v="23108 名古屋市瑞穂区"/>
        <s v="23109 名古屋市熱田区"/>
        <s v="23110 名古屋市中川区"/>
        <s v="23111 名古屋市港区"/>
        <s v="23112 名古屋市南区"/>
        <s v="23113 名古屋市守山区"/>
        <s v="23114 名古屋市緑区"/>
        <s v="23115 名古屋市名東区"/>
        <s v="23116 名古屋市天白区"/>
        <s v="23201 豊橋市"/>
        <s v="23202 岡崎市"/>
        <s v="23203 一宮市"/>
        <s v="23204 瀬戸市"/>
        <s v="23205 半田市"/>
        <s v="23206 春日井市"/>
        <s v="23207 豊川市"/>
        <s v="23208 津島市"/>
        <s v="23209 碧南市"/>
        <s v="23210 刈谷市"/>
        <s v="23211 豊田市"/>
        <s v="23212 安城市"/>
        <s v="23213 西尾市"/>
        <s v="23214 蒲郡市"/>
        <s v="23215 犬山市"/>
        <s v="23216 常滑市"/>
        <s v="23217 江南市"/>
        <s v="23219 小牧市"/>
        <s v="23220 稲沢市"/>
        <s v="23221 新城市"/>
        <s v="23222 東海市"/>
        <s v="23223 大府市"/>
        <s v="23224 知多市"/>
        <s v="23225 知立市"/>
        <s v="23226 尾張旭市"/>
        <s v="23227 高浜市"/>
        <s v="23228 岩倉市"/>
        <s v="23229 豊明市"/>
        <s v="23230 日進市"/>
        <s v="23231 田原市"/>
        <s v="23232 愛西市"/>
        <s v="23233 清須市"/>
        <s v="23234 北名古屋市"/>
        <s v="23235 弥富市"/>
        <s v="23236 みよし市"/>
        <s v="23237 あま市"/>
        <s v="23238 長久手市"/>
        <s v="23302 愛知郡東郷町"/>
        <s v="23342 西春日井郡豊山町"/>
        <s v="23361 丹羽郡大口町"/>
        <s v="23362 丹羽郡扶桑町"/>
        <s v="23424 海部郡大治町"/>
        <s v="23425 海部郡蟹江町"/>
        <s v="23427 海部郡飛島村"/>
        <s v="23441 知多郡阿久比町"/>
        <s v="23442 知多郡東浦町"/>
        <s v="23445 知多郡南知多町"/>
        <s v="23446 知多郡美浜町"/>
        <s v="23447 知多郡武豊町"/>
        <s v="23501 額田郡幸田町"/>
        <s v="23561 北設楽郡設楽町"/>
        <s v="23562 北設楽郡東栄町"/>
        <s v="23563 北設楽郡豊根村"/>
      </sharedItems>
    </cacheField>
    <cacheField name="産業分類コード" numFmtId="0" sqlType="-8">
      <sharedItems count="122">
        <s v="692"/>
        <s v="783"/>
        <s v="824"/>
        <s v="767"/>
        <s v="762"/>
        <s v="835"/>
        <s v="782"/>
        <s v="765"/>
        <s v="591"/>
        <s v="691"/>
        <s v="609"/>
        <s v="081"/>
        <s v="064"/>
        <s v="083"/>
        <s v="062"/>
        <s v="603"/>
        <s v="781"/>
        <s v="742"/>
        <s v="682"/>
        <s v="823"/>
        <s v="766"/>
        <s v="694"/>
        <s v="724"/>
        <s v="559"/>
        <s v="541"/>
        <s v="729"/>
        <s v="789"/>
        <s v="728"/>
        <s v="929"/>
        <s v="721"/>
        <s v="722"/>
        <s v="726"/>
        <s v="078"/>
        <s v="589"/>
        <s v="151"/>
        <s v="522"/>
        <s v="891"/>
        <s v="543"/>
        <s v="391"/>
        <s v="573"/>
        <s v="799"/>
        <s v="693"/>
        <s v="521"/>
        <s v="532"/>
        <s v="244"/>
        <s v="266"/>
        <s v="593"/>
        <s v="079"/>
        <s v="269"/>
        <s v="072"/>
        <s v="311"/>
        <s v="066"/>
        <s v="077"/>
        <s v="065"/>
        <s v="112"/>
        <s v="214"/>
        <s v="551"/>
        <s v="219"/>
        <s v="586"/>
        <s v="772"/>
        <s v="115"/>
        <s v="119"/>
        <s v="602"/>
        <s v="111"/>
        <s v="441"/>
        <s v="071"/>
        <s v="605"/>
        <s v="084"/>
        <s v="611"/>
        <s v="213"/>
        <s v="761"/>
        <s v="951"/>
        <s v="803"/>
        <s v="531"/>
        <s v="853"/>
        <s v="854"/>
        <s v="328"/>
        <s v="291"/>
        <s v="821"/>
        <s v="082"/>
        <s v="471"/>
        <s v="481"/>
        <s v="882"/>
        <s v="542"/>
        <s v="229"/>
        <s v="536"/>
        <s v="122"/>
        <s v="174"/>
        <s v="484"/>
        <s v="607"/>
        <s v="702"/>
        <s v="075"/>
        <s v="579"/>
        <s v="751"/>
        <s v="092"/>
        <s v="809"/>
        <s v="097"/>
        <s v="183"/>
        <s v="601"/>
        <s v="076"/>
        <s v="606"/>
        <s v="833"/>
        <s v="759"/>
        <s v="099"/>
        <s v="121"/>
        <s v="133"/>
        <s v="432"/>
        <s v="581"/>
        <s v="583"/>
        <s v="585"/>
        <s v="604"/>
        <s v="763"/>
        <s v="608"/>
        <s v="212"/>
        <s v="911"/>
        <s v="093"/>
        <s v="094"/>
        <s v="103"/>
        <s v="329"/>
        <s v="489"/>
        <s v="572"/>
        <s v="804"/>
      </sharedItems>
    </cacheField>
    <cacheField name="産業分類" numFmtId="0" sqlType="-9">
      <sharedItems count="122">
        <s v="貸家業，貸間業"/>
        <s v="美容業"/>
        <s v="教養・技能教授業"/>
        <s v="喫茶店"/>
        <s v="専門料理店"/>
        <s v="療術業"/>
        <s v="理容業"/>
        <s v="酒場，ビヤホール"/>
        <s v="自動車小売業"/>
        <s v="不動産賃貸業（貸家業，貸間業を除く）"/>
        <s v="他に分類されない小売業"/>
        <s v="電気工事業"/>
        <s v="建築工事業（木造建築工事業を除く）"/>
        <s v="管工事業（さく井工事業を除く）"/>
        <s v="土木工事業（舗装工事業を除く）"/>
        <s v="医薬品・化粧品小売業"/>
        <s v="洗濯業"/>
        <s v="土木建築サービス業"/>
        <s v="不動産代理業・仲介業"/>
        <s v="学習塾"/>
        <s v="バー，キャバレー，ナイトクラブ"/>
        <s v="不動産管理業"/>
        <s v="公認会計士事務所，税理士事務所"/>
        <s v="他に分類されない卸売業"/>
        <s v="産業機械器具卸売業"/>
        <s v="その他の専門サービス業"/>
        <s v="その他の洗濯・理容・美容・浴場業"/>
        <s v="経営コンサルタント業，純粋持株会社"/>
        <s v="他に分類されない事業サービス業"/>
        <s v="法律事務所，特許事務所"/>
        <s v="公証人役場，司法書士事務所，土地家屋調査士事務所"/>
        <s v="デザイン業"/>
        <s v="床・内装工事業"/>
        <s v="その他の飲食料品小売業"/>
        <s v="印刷業"/>
        <s v="食料・飲料卸売業"/>
        <s v="自動車整備業"/>
        <s v="電気機械器具卸売業"/>
        <s v="ソフトウェア業"/>
        <s v="婦人・子供服小売業"/>
        <s v="他に分類されない生活関連サービス業"/>
        <s v="駐車場業"/>
        <s v="農畜産物・水産物卸売業"/>
        <s v="化学製品卸売業"/>
        <s v="建設用・建築用金属製品製造業（製缶板金業を含む）"/>
        <s v="金属加工機械製造業"/>
        <s v="機械器具小売業（自動車，自転車を除く）"/>
        <s v="その他の職別工事業"/>
        <s v="その他の生産用機械・同部分品製造業"/>
        <s v="とび・土工・コンクリート工事業"/>
        <s v="自動車・同附属品製造業"/>
        <s v="建築リフォーム工事業"/>
        <s v="塗装工事業"/>
        <s v="木造建築工事業"/>
        <s v="織物業"/>
        <s v="陶磁器・同関連製品製造業"/>
        <s v="家具・建具・じゅう器等卸売業"/>
        <s v="その他の窯業・土石製品製造業"/>
        <s v="菓子・パン小売業"/>
        <s v="配達飲食サービス業"/>
        <s v="綱・網・レース・繊維粗製品製造業"/>
        <s v="その他の繊維製品製造業"/>
        <s v="じゅう器小売業"/>
        <s v="製糸業，紡績業，化学繊維・ねん糸等製造業"/>
        <s v="一般貨物自動車運送業"/>
        <s v="大工工事業"/>
        <s v="燃料小売業"/>
        <s v="機械器具設置工事業"/>
        <s v="通信販売・訪問販売小売業"/>
        <s v="建設用粘土製品製造業（陶磁器製を除く）"/>
        <s v="食堂，レストラン（専門料理店を除く）"/>
        <s v="集会場"/>
        <s v="競輪・競馬等の競走場，競技団"/>
        <s v="建築材料卸売業"/>
        <s v="児童福祉事業"/>
        <s v="老人福祉・介護事業"/>
        <s v="畳等生活雑貨製品製造業"/>
        <s v="発電用・送電用・配電用電気機械器具製造業"/>
        <s v="社会教育"/>
        <s v="電気通信・信号装置工事業"/>
        <s v="倉庫業（冷蔵倉庫業を除く）"/>
        <s v="港湾運送業"/>
        <s v="産業廃棄物処理業"/>
        <s v="自動車卸売業"/>
        <s v="その他の鉄鋼業"/>
        <s v="再生資源卸売業"/>
        <s v="造作材・合板・建築用組立材料製造業"/>
        <s v="舗装材料製造業"/>
        <s v="こん包業"/>
        <s v="スポーツ用品・がん具・娯楽用品・楽器小売業"/>
        <s v="産業用機械器具賃貸業"/>
        <s v="左官工事業"/>
        <s v="その他の織物・衣服・身の回り品小売業"/>
        <s v="旅館，ホテル"/>
        <s v="水産食料品製造業"/>
        <s v="その他の娯楽業"/>
        <s v="パン・菓子製造業"/>
        <s v="工業用プラスチック製品製造業"/>
        <s v="家具・建具・畳小売業"/>
        <s v="板金・金物工事業"/>
        <s v="書籍・文房具小売業"/>
        <s v="歯科診療所"/>
        <s v="その他の宿泊業"/>
        <s v="その他の食料品製造業"/>
        <s v="製材業，木製品製造業"/>
        <s v="建具製造業"/>
        <s v="一般乗用旅客自動車運送業"/>
        <s v="各種食料品小売業"/>
        <s v="食肉小売業"/>
        <s v="酒小売業"/>
        <s v="農耕用品小売業"/>
        <s v="そば・うどん店"/>
        <s v="写真機・時計・眼鏡小売業"/>
        <s v="セメント・同製品製造業"/>
        <s v="職業紹介業"/>
        <s v="野菜缶詰・果実缶詰・農産保存食料品製造業"/>
        <s v="調味料製造業"/>
        <s v="茶・コーヒー製造業（清涼飲料を除く）"/>
        <s v="他に分類されない製造業"/>
        <s v="その他の運輸に附帯するサービス業"/>
        <s v="男子服小売業"/>
        <s v="スポーツ施設提供業"/>
      </sharedItems>
    </cacheField>
    <cacheField name="産業小分類" numFmtId="0" sqlType="-9">
      <sharedItems count="122">
        <s v="692 貸家業，貸間業"/>
        <s v="783 美容業"/>
        <s v="824 教養・技能教授業"/>
        <s v="767 喫茶店"/>
        <s v="762 専門料理店"/>
        <s v="835 療術業"/>
        <s v="782 理容業"/>
        <s v="765 酒場，ビヤホール"/>
        <s v="591 自動車小売業"/>
        <s v="691 不動産賃貸業（貸家業，貸間業を除く）"/>
        <s v="609 他に分類されない小売業"/>
        <s v="081 電気工事業"/>
        <s v="064 建築工事業（木造建築工事業を除く）"/>
        <s v="083 管工事業（さく井工事業を除く）"/>
        <s v="062 土木工事業（舗装工事業を除く）"/>
        <s v="603 医薬品・化粧品小売業"/>
        <s v="781 洗濯業"/>
        <s v="742 土木建築サービス業"/>
        <s v="682 不動産代理業・仲介業"/>
        <s v="823 学習塾"/>
        <s v="766 バー，キャバレー，ナイトクラブ"/>
        <s v="694 不動産管理業"/>
        <s v="724 公認会計士事務所，税理士事務所"/>
        <s v="559 他に分類されない卸売業"/>
        <s v="541 産業機械器具卸売業"/>
        <s v="729 その他の専門サービス業"/>
        <s v="789 その他の洗濯・理容・美容・浴場業"/>
        <s v="728 経営コンサルタント業，純粋持株会社"/>
        <s v="929 他に分類されない事業サービス業"/>
        <s v="721 法律事務所，特許事務所"/>
        <s v="722 公証人役場，司法書士事務所，土地家屋調査士事務所"/>
        <s v="726 デザイン業"/>
        <s v="078 床・内装工事業"/>
        <s v="589 その他の飲食料品小売業"/>
        <s v="151 印刷業"/>
        <s v="522 食料・飲料卸売業"/>
        <s v="891 自動車整備業"/>
        <s v="543 電気機械器具卸売業"/>
        <s v="391 ソフトウェア業"/>
        <s v="573 婦人・子供服小売業"/>
        <s v="799 他に分類されない生活関連サービス業"/>
        <s v="693 駐車場業"/>
        <s v="521 農畜産物・水産物卸売業"/>
        <s v="532 化学製品卸売業"/>
        <s v="244 建設用・建築用金属製品製造業（製缶板金業を含む）"/>
        <s v="266 金属加工機械製造業"/>
        <s v="593 機械器具小売業（自動車，自転車を除く）"/>
        <s v="079 その他の職別工事業"/>
        <s v="269 その他の生産用機械・同部分品製造業"/>
        <s v="072 とび・土工・コンクリート工事業"/>
        <s v="311 自動車・同附属品製造業"/>
        <s v="066 建築リフォーム工事業"/>
        <s v="077 塗装工事業"/>
        <s v="065 木造建築工事業"/>
        <s v="112 織物業"/>
        <s v="214 陶磁器・同関連製品製造業"/>
        <s v="551 家具・建具・じゅう器等卸売業"/>
        <s v="219 その他の窯業・土石製品製造業"/>
        <s v="586 菓子・パン小売業"/>
        <s v="772 配達飲食サービス業"/>
        <s v="115 綱・網・レース・繊維粗製品製造業"/>
        <s v="119 その他の繊維製品製造業"/>
        <s v="602 じゅう器小売業"/>
        <s v="111 製糸業，紡績業，化学繊維・ねん糸等製造業"/>
        <s v="441 一般貨物自動車運送業"/>
        <s v="071 大工工事業"/>
        <s v="605 燃料小売業"/>
        <s v="084 機械器具設置工事業"/>
        <s v="611 通信販売・訪問販売小売業"/>
        <s v="213 建設用粘土製品製造業（陶磁器製を除く）"/>
        <s v="761 食堂，レストラン（専門料理店を除く）"/>
        <s v="951 集会場"/>
        <s v="803 競輪・競馬等の競走場，競技団"/>
        <s v="531 建築材料卸売業"/>
        <s v="853 児童福祉事業"/>
        <s v="854 老人福祉・介護事業"/>
        <s v="328 畳等生活雑貨製品製造業"/>
        <s v="291 発電用・送電用・配電用電気機械器具製造業"/>
        <s v="821 社会教育"/>
        <s v="082 電気通信・信号装置工事業"/>
        <s v="471 倉庫業（冷蔵倉庫業を除く）"/>
        <s v="481 港湾運送業"/>
        <s v="882 産業廃棄物処理業"/>
        <s v="542 自動車卸売業"/>
        <s v="229 その他の鉄鋼業"/>
        <s v="536 再生資源卸売業"/>
        <s v="122 造作材・合板・建築用組立材料製造業"/>
        <s v="174 舗装材料製造業"/>
        <s v="484 こん包業"/>
        <s v="607 スポーツ用品・がん具・娯楽用品・楽器小売業"/>
        <s v="702 産業用機械器具賃貸業"/>
        <s v="075 左官工事業"/>
        <s v="579 その他の織物・衣服・身の回り品小売業"/>
        <s v="751 旅館，ホテル"/>
        <s v="092 水産食料品製造業"/>
        <s v="809 その他の娯楽業"/>
        <s v="097 パン・菓子製造業"/>
        <s v="183 工業用プラスチック製品製造業"/>
        <s v="601 家具・建具・畳小売業"/>
        <s v="076 板金・金物工事業"/>
        <s v="606 書籍・文房具小売業"/>
        <s v="833 歯科診療所"/>
        <s v="759 その他の宿泊業"/>
        <s v="099 その他の食料品製造業"/>
        <s v="121 製材業，木製品製造業"/>
        <s v="133 建具製造業"/>
        <s v="432 一般乗用旅客自動車運送業"/>
        <s v="581 各種食料品小売業"/>
        <s v="583 食肉小売業"/>
        <s v="585 酒小売業"/>
        <s v="604 農耕用品小売業"/>
        <s v="763 そば・うどん店"/>
        <s v="608 写真機・時計・眼鏡小売業"/>
        <s v="212 セメント・同製品製造業"/>
        <s v="911 職業紹介業"/>
        <s v="093 野菜缶詰・果実缶詰・農産保存食料品製造業"/>
        <s v="094 調味料製造業"/>
        <s v="103 茶・コーヒー製造業（清涼飲料を除く）"/>
        <s v="329 他に分類されない製造業"/>
        <s v="489 その他の運輸に附帯するサービス業"/>
        <s v="572 男子服小売業"/>
        <s v="804 スポーツ施設提供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7237" count="241">
        <n v="7237"/>
        <n v="6915"/>
        <n v="4679"/>
        <n v="4406"/>
        <n v="4143"/>
        <n v="4097"/>
        <n v="4079"/>
        <n v="3448"/>
        <n v="2944"/>
        <n v="2837"/>
        <n v="2715"/>
        <n v="2588"/>
        <n v="2272"/>
        <n v="2269"/>
        <n v="2157"/>
        <n v="2112"/>
        <n v="2104"/>
        <n v="2081"/>
        <n v="1983"/>
        <n v="1975"/>
        <n v="3133"/>
        <n v="2225"/>
        <n v="1828"/>
        <n v="1705"/>
        <n v="1513"/>
        <n v="1498"/>
        <n v="1471"/>
        <n v="1332"/>
        <n v="1213"/>
        <n v="1040"/>
        <n v="923"/>
        <n v="902"/>
        <n v="901"/>
        <n v="896"/>
        <n v="835"/>
        <n v="821"/>
        <n v="812"/>
        <n v="763"/>
        <n v="739"/>
        <n v="354"/>
        <n v="215"/>
        <n v="196"/>
        <n v="153"/>
        <n v="130"/>
        <n v="128"/>
        <n v="105"/>
        <n v="102"/>
        <n v="100"/>
        <n v="99"/>
        <n v="94"/>
        <n v="74"/>
        <n v="68"/>
        <n v="66"/>
        <n v="63"/>
        <n v="60"/>
        <n v="57"/>
        <n v="56"/>
        <n v="193"/>
        <n v="116"/>
        <n v="98"/>
        <n v="92"/>
        <n v="87"/>
        <n v="84"/>
        <n v="81"/>
        <n v="79"/>
        <n v="76"/>
        <n v="65"/>
        <n v="59"/>
        <n v="58"/>
        <n v="53"/>
        <n v="50"/>
        <n v="46"/>
        <n v="205"/>
        <n v="160"/>
        <n v="145"/>
        <n v="125"/>
        <n v="114"/>
        <n v="101"/>
        <n v="95"/>
        <n v="91"/>
        <n v="85"/>
        <n v="72"/>
        <n v="64"/>
        <n v="55"/>
        <n v="221"/>
        <n v="155"/>
        <n v="148"/>
        <n v="140"/>
        <n v="113"/>
        <n v="103"/>
        <n v="77"/>
        <n v="73"/>
        <n v="71"/>
        <n v="62"/>
        <n v="212"/>
        <n v="161"/>
        <n v="144"/>
        <n v="143"/>
        <n v="88"/>
        <n v="83"/>
        <n v="82"/>
        <n v="80"/>
        <n v="69"/>
        <n v="602"/>
        <n v="401"/>
        <n v="333"/>
        <n v="305"/>
        <n v="273"/>
        <n v="254"/>
        <n v="183"/>
        <n v="182"/>
        <n v="168"/>
        <n v="166"/>
        <n v="146"/>
        <n v="137"/>
        <n v="136"/>
        <n v="132"/>
        <n v="330"/>
        <n v="123"/>
        <n v="96"/>
        <n v="52"/>
        <n v="48"/>
        <n v="47"/>
        <n v="45"/>
        <n v="38"/>
        <n v="37"/>
        <n v="35"/>
        <n v="269"/>
        <n v="54"/>
        <n v="41"/>
        <n v="40"/>
        <n v="39"/>
        <n v="36"/>
        <n v="33"/>
        <n v="32"/>
        <n v="129"/>
        <n v="34"/>
        <n v="30"/>
        <n v="28"/>
        <n v="27"/>
        <n v="26"/>
        <n v="24"/>
        <n v="23"/>
        <n v="171"/>
        <n v="127"/>
        <n v="122"/>
        <n v="108"/>
        <n v="106"/>
        <n v="97"/>
        <n v="89"/>
        <n v="61"/>
        <n v="78"/>
        <n v="42"/>
        <n v="107"/>
        <n v="51"/>
        <n v="49"/>
        <n v="110"/>
        <n v="86"/>
        <n v="167"/>
        <n v="139"/>
        <n v="104"/>
        <n v="67"/>
        <n v="245"/>
        <n v="169"/>
        <n v="152"/>
        <n v="75"/>
        <n v="43"/>
        <n v="393"/>
        <n v="289"/>
        <n v="263"/>
        <n v="219"/>
        <n v="200"/>
        <n v="192"/>
        <n v="170"/>
        <n v="124"/>
        <n v="119"/>
        <n v="117"/>
        <n v="112"/>
        <n v="111"/>
        <n v="346"/>
        <n v="265"/>
        <n v="217"/>
        <n v="197"/>
        <n v="174"/>
        <n v="158"/>
        <n v="138"/>
        <n v="115"/>
        <n v="375"/>
        <n v="356"/>
        <n v="327"/>
        <n v="295"/>
        <n v="294"/>
        <n v="214"/>
        <n v="163"/>
        <n v="159"/>
        <n v="149"/>
        <n v="147"/>
        <n v="134"/>
        <n v="131"/>
        <n v="70"/>
        <n v="44"/>
        <n v="257"/>
        <n v="199"/>
        <n v="176"/>
        <n v="150"/>
        <n v="90"/>
        <n v="235"/>
        <n v="133"/>
        <n v="31"/>
        <n v="22"/>
        <n v="21"/>
        <n v="19"/>
        <n v="335"/>
        <n v="191"/>
        <n v="184"/>
        <n v="151"/>
        <n v="121"/>
        <n v="252"/>
        <n v="195"/>
        <n v="29"/>
        <n v="20"/>
        <n v="18"/>
        <n v="17"/>
        <n v="93"/>
        <n v="25"/>
        <n v="16"/>
        <n v="14"/>
        <n v="15"/>
        <n v="13"/>
        <n v="12"/>
        <n v="11"/>
        <n v="9"/>
        <n v="10"/>
        <n v="7"/>
        <n v="6"/>
        <n v="5"/>
        <n v="8"/>
        <n v="4"/>
        <n v="3"/>
        <n v="2"/>
        <n v="1"/>
      </sharedItems>
    </cacheField>
    <cacheField name="構成比" numFmtId="0" sqlType="3">
      <sharedItems containsSemiMixedTypes="0" containsString="0" containsNumber="1" minValue="1.04" maxValue="12.27" count="344">
        <n v="4.3600000000000003"/>
        <n v="4.16"/>
        <n v="2.82"/>
        <n v="2.65"/>
        <n v="2.4900000000000002"/>
        <n v="2.4700000000000002"/>
        <n v="2.46"/>
        <n v="2.08"/>
        <n v="1.77"/>
        <n v="1.71"/>
        <n v="1.63"/>
        <n v="1.56"/>
        <n v="1.37"/>
        <n v="1.3"/>
        <n v="1.27"/>
        <n v="1.25"/>
        <n v="1.19"/>
        <n v="4.9800000000000004"/>
        <n v="3.54"/>
        <n v="2.91"/>
        <n v="2.71"/>
        <n v="2.41"/>
        <n v="2.38"/>
        <n v="2.34"/>
        <n v="2.12"/>
        <n v="1.93"/>
        <n v="1.65"/>
        <n v="1.47"/>
        <n v="1.43"/>
        <n v="1.42"/>
        <n v="1.33"/>
        <n v="1.31"/>
        <n v="1.29"/>
        <n v="1.21"/>
        <n v="1.18"/>
        <n v="8.16"/>
        <n v="4.96"/>
        <n v="4.5199999999999996"/>
        <n v="3.53"/>
        <n v="3"/>
        <n v="2.95"/>
        <n v="2.42"/>
        <n v="2.35"/>
        <n v="2.31"/>
        <n v="2.2799999999999998"/>
        <n v="2.17"/>
        <n v="1.57"/>
        <n v="1.52"/>
        <n v="1.45"/>
        <n v="1.38"/>
        <n v="5.66"/>
        <n v="3.4"/>
        <n v="2.87"/>
        <n v="2.7"/>
        <n v="2.5499999999999998"/>
        <n v="2.3199999999999998"/>
        <n v="2.23"/>
        <n v="1.94"/>
        <n v="1.91"/>
        <n v="1.73"/>
        <n v="1.7"/>
        <n v="1.67"/>
        <n v="1.55"/>
        <n v="1.35"/>
        <n v="4.9000000000000004"/>
        <n v="3.82"/>
        <n v="3.46"/>
        <n v="2.99"/>
        <n v="2.72"/>
        <n v="2.27"/>
        <n v="2.0299999999999998"/>
        <n v="1.72"/>
        <n v="1.62"/>
        <n v="1.53"/>
        <n v="1.39"/>
        <n v="1.36"/>
        <n v="4.67"/>
        <n v="3.28"/>
        <n v="3.13"/>
        <n v="2.96"/>
        <n v="2.39"/>
        <n v="2.1800000000000002"/>
        <n v="1.99"/>
        <n v="1.78"/>
        <n v="1.54"/>
        <n v="1.5"/>
        <n v="1.44"/>
        <n v="1.4"/>
        <n v="4.04"/>
        <n v="3.07"/>
        <n v="2.75"/>
        <n v="2.73"/>
        <n v="2.48"/>
        <n v="2"/>
        <n v="1.75"/>
        <n v="1.68"/>
        <n v="1.6"/>
        <n v="1.58"/>
        <n v="1.51"/>
        <n v="1.41"/>
        <n v="1.32"/>
        <n v="6.72"/>
        <n v="4.4800000000000004"/>
        <n v="3.72"/>
        <n v="3.41"/>
        <n v="3.05"/>
        <n v="2.84"/>
        <n v="2.4"/>
        <n v="2.04"/>
        <n v="1.88"/>
        <n v="1.85"/>
        <n v="1.61"/>
        <n v="10.72"/>
        <n v="4"/>
        <n v="3.12"/>
        <n v="2.76"/>
        <n v="2.63"/>
        <n v="2.6"/>
        <n v="2.37"/>
        <n v="2.0499999999999998"/>
        <n v="1.92"/>
        <n v="1.79"/>
        <n v="1.69"/>
        <n v="1.46"/>
        <n v="1.23"/>
        <n v="1.2"/>
        <n v="1.1399999999999999"/>
        <n v="10.47"/>
        <n v="4.09"/>
        <n v="3.81"/>
        <n v="2.68"/>
        <n v="2.1"/>
        <n v="1.95"/>
        <n v="1.48"/>
        <n v="1.28"/>
        <n v="6.3"/>
        <n v="4.0999999999999996"/>
        <n v="3.18"/>
        <n v="2.78"/>
        <n v="2.69"/>
        <n v="2.25"/>
        <n v="1.66"/>
        <n v="1.17"/>
        <n v="1.1200000000000001"/>
        <n v="3.67"/>
        <n v="3.09"/>
        <n v="2.79"/>
        <n v="2.62"/>
        <n v="1.87"/>
        <n v="1.59"/>
        <n v="1.22"/>
        <n v="3.65"/>
        <n v="3.27"/>
        <n v="2.66"/>
        <n v="2.5"/>
        <n v="2.44"/>
        <n v="1.83"/>
        <n v="4.07"/>
        <n v="3.37"/>
        <n v="2.61"/>
        <n v="1.84"/>
        <n v="1.81"/>
        <n v="1.24"/>
        <n v="3.51"/>
        <n v="3.19"/>
        <n v="2.74"/>
        <n v="2.58"/>
        <n v="2.33"/>
        <n v="1.82"/>
        <n v="4.41"/>
        <n v="2.85"/>
        <n v="2.77"/>
        <n v="2.2999999999999998"/>
        <n v="2.2200000000000002"/>
        <n v="2.11"/>
        <n v="1.8"/>
        <n v="7.36"/>
        <n v="5.08"/>
        <n v="3.76"/>
        <n v="2.4300000000000002"/>
        <n v="2.19"/>
        <n v="1.89"/>
        <n v="1.26"/>
        <n v="5.41"/>
        <n v="4.8099999999999996"/>
        <n v="2.5299999999999998"/>
        <n v="2.06"/>
        <n v="1.96"/>
        <n v="1.74"/>
        <n v="4.88"/>
        <n v="3.59"/>
        <n v="4.76"/>
        <n v="2.09"/>
        <n v="1.97"/>
        <n v="1.9"/>
        <n v="3.77"/>
        <n v="3.58"/>
        <n v="3.29"/>
        <n v="2.97"/>
        <n v="2.16"/>
        <n v="2.15"/>
        <n v="1.64"/>
        <n v="9.93"/>
        <n v="3.21"/>
        <n v="2.5099999999999998"/>
        <n v="4.8899999999999997"/>
        <n v="3.79"/>
        <n v="3.34"/>
        <n v="3.3"/>
        <n v="3.26"/>
        <n v="2.81"/>
        <n v="2.0099999999999998"/>
        <n v="4.5999999999999996"/>
        <n v="3.56"/>
        <n v="3.15"/>
        <n v="3.06"/>
        <n v="6.33"/>
        <n v="2.88"/>
        <n v="2.83"/>
        <n v="2.2400000000000002"/>
        <n v="2.0699999999999998"/>
        <n v="4.72"/>
        <n v="3.62"/>
        <n v="2.98"/>
        <n v="2.52"/>
        <n v="1.49"/>
        <n v="4.2699999999999996"/>
        <n v="3.6"/>
        <n v="4.78"/>
        <n v="4.22"/>
        <n v="3.16"/>
        <n v="2.86"/>
        <n v="2.67"/>
        <n v="4.9400000000000004"/>
        <n v="4.87"/>
        <n v="3.91"/>
        <n v="2.29"/>
        <n v="2.2599999999999998"/>
        <n v="7.33"/>
        <n v="5.29"/>
        <n v="2.59"/>
        <n v="2.21"/>
        <n v="1.34"/>
        <n v="5"/>
        <n v="2.54"/>
        <n v="2.13"/>
        <n v="2.92"/>
        <n v="4.8600000000000003"/>
        <n v="4.1399999999999997"/>
        <n v="3.43"/>
        <n v="2.64"/>
        <n v="2.36"/>
        <n v="2.14"/>
        <n v="6.81"/>
        <n v="4.03"/>
        <n v="5.04"/>
        <n v="4.34"/>
        <n v="3.96"/>
        <n v="3.25"/>
        <n v="3.38"/>
        <n v="2.2000000000000002"/>
        <n v="4.6100000000000003"/>
        <n v="4.3499999999999996"/>
        <n v="3.52"/>
        <n v="5.46"/>
        <n v="4.51"/>
        <n v="3.04"/>
        <n v="4.62"/>
        <n v="6.73"/>
        <n v="4.75"/>
        <n v="2.94"/>
        <n v="5.71"/>
        <n v="5.63"/>
        <n v="3.49"/>
        <n v="3.33"/>
        <n v="3.01"/>
        <n v="1.98"/>
        <n v="4.6500000000000004"/>
        <n v="4.4400000000000004"/>
        <n v="3.2"/>
        <n v="1.86"/>
        <n v="1.76"/>
        <n v="6.19"/>
        <n v="5.38"/>
        <n v="2.4500000000000002"/>
        <n v="5.24"/>
        <n v="4.55"/>
        <n v="4.43"/>
        <n v="3.03"/>
        <n v="11.11"/>
        <n v="5.21"/>
        <n v="4.05"/>
        <n v="3.94"/>
        <n v="3.24"/>
        <n v="1.04"/>
        <n v="6.29"/>
        <n v="3.14"/>
        <n v="6.37"/>
        <n v="5.57"/>
        <n v="3.93"/>
        <n v="3.85"/>
        <n v="3.42"/>
        <n v="5.75"/>
        <n v="9.48"/>
        <n v="2.8"/>
        <n v="4.24"/>
        <n v="3.98"/>
        <n v="8.1300000000000008"/>
        <n v="5.07"/>
        <n v="4.33"/>
        <n v="4.7699999999999996"/>
        <n v="3.71"/>
        <n v="7.11"/>
        <n v="4.3099999999999996"/>
        <n v="4.99"/>
        <n v="3.8"/>
        <n v="5.36"/>
        <n v="3.63"/>
        <n v="11.88"/>
        <n v="3.23"/>
        <n v="2.89"/>
        <n v="3.02"/>
        <n v="1.1599999999999999"/>
        <n v="1.05"/>
        <n v="5.69"/>
        <n v="4.63"/>
        <n v="3.9"/>
        <n v="5.28"/>
        <n v="3.11"/>
        <n v="2.57"/>
        <n v="10.029999999999999"/>
        <n v="3.7"/>
        <n v="3.55"/>
        <n v="2.93"/>
        <n v="12.27"/>
        <n v="4.1500000000000004"/>
        <n v="3.61"/>
        <n v="6.6"/>
        <n v="3.73"/>
        <n v="6.35"/>
        <n v="3.97"/>
        <n v="3.17"/>
        <n v="9.3000000000000007"/>
        <n v="6.98"/>
      </sharedItems>
    </cacheField>
    <cacheField name="総数（個人）" numFmtId="0" sqlType="4">
      <sharedItems containsSemiMixedTypes="0" containsString="0" containsNumber="1" containsInteger="1" minValue="0" maxValue="5886" count="198">
        <n v="2892"/>
        <n v="5886"/>
        <n v="3644"/>
        <n v="3986"/>
        <n v="3017"/>
        <n v="3563"/>
        <n v="3856"/>
        <n v="3043"/>
        <n v="1396"/>
        <n v="364"/>
        <n v="1610"/>
        <n v="567"/>
        <n v="284"/>
        <n v="452"/>
        <n v="307"/>
        <n v="881"/>
        <n v="1160"/>
        <n v="839"/>
        <n v="427"/>
        <n v="1313"/>
        <n v="762"/>
        <n v="1780"/>
        <n v="1275"/>
        <n v="1530"/>
        <n v="1248"/>
        <n v="1063"/>
        <n v="1232"/>
        <n v="131"/>
        <n v="1132"/>
        <n v="589"/>
        <n v="896"/>
        <n v="295"/>
        <n v="25"/>
        <n v="110"/>
        <n v="817"/>
        <n v="112"/>
        <n v="89"/>
        <n v="362"/>
        <n v="57"/>
        <n v="100"/>
        <n v="176"/>
        <n v="138"/>
        <n v="111"/>
        <n v="21"/>
        <n v="104"/>
        <n v="34"/>
        <n v="83"/>
        <n v="55"/>
        <n v="7"/>
        <n v="1"/>
        <n v="69"/>
        <n v="31"/>
        <n v="59"/>
        <n v="4"/>
        <n v="38"/>
        <n v="47"/>
        <n v="12"/>
        <n v="66"/>
        <n v="5"/>
        <n v="75"/>
        <n v="49"/>
        <n v="2"/>
        <n v="51"/>
        <n v="44"/>
        <n v="53"/>
        <n v="39"/>
        <n v="0"/>
        <n v="43"/>
        <n v="18"/>
        <n v="71"/>
        <n v="139"/>
        <n v="142"/>
        <n v="103"/>
        <n v="108"/>
        <n v="11"/>
        <n v="77"/>
        <n v="10"/>
        <n v="13"/>
        <n v="32"/>
        <n v="36"/>
        <n v="62"/>
        <n v="6"/>
        <n v="67"/>
        <n v="141"/>
        <n v="119"/>
        <n v="106"/>
        <n v="82"/>
        <n v="90"/>
        <n v="8"/>
        <n v="19"/>
        <n v="56"/>
        <n v="120"/>
        <n v="86"/>
        <n v="129"/>
        <n v="94"/>
        <n v="9"/>
        <n v="97"/>
        <n v="81"/>
        <n v="42"/>
        <n v="79"/>
        <n v="17"/>
        <n v="14"/>
        <n v="518"/>
        <n v="242"/>
        <n v="321"/>
        <n v="26"/>
        <n v="195"/>
        <n v="107"/>
        <n v="33"/>
        <n v="155"/>
        <n v="116"/>
        <n v="109"/>
        <n v="127"/>
        <n v="70"/>
        <n v="72"/>
        <n v="52"/>
        <n v="3"/>
        <n v="28"/>
        <n v="15"/>
        <n v="22"/>
        <n v="61"/>
        <n v="68"/>
        <n v="48"/>
        <n v="29"/>
        <n v="64"/>
        <n v="78"/>
        <n v="41"/>
        <n v="40"/>
        <n v="20"/>
        <n v="149"/>
        <n v="99"/>
        <n v="45"/>
        <n v="58"/>
        <n v="35"/>
        <n v="27"/>
        <n v="101"/>
        <n v="73"/>
        <n v="46"/>
        <n v="24"/>
        <n v="105"/>
        <n v="102"/>
        <n v="85"/>
        <n v="132"/>
        <n v="16"/>
        <n v="93"/>
        <n v="137"/>
        <n v="95"/>
        <n v="74"/>
        <n v="65"/>
        <n v="123"/>
        <n v="60"/>
        <n v="348"/>
        <n v="255"/>
        <n v="166"/>
        <n v="180"/>
        <n v="171"/>
        <n v="148"/>
        <n v="174"/>
        <n v="76"/>
        <n v="50"/>
        <n v="312"/>
        <n v="172"/>
        <n v="183"/>
        <n v="144"/>
        <n v="151"/>
        <n v="30"/>
        <n v="334"/>
        <n v="306"/>
        <n v="115"/>
        <n v="275"/>
        <n v="203"/>
        <n v="253"/>
        <n v="178"/>
        <n v="204"/>
        <n v="164"/>
        <n v="63"/>
        <n v="23"/>
        <n v="113"/>
        <n v="212"/>
        <n v="161"/>
        <n v="130"/>
        <n v="128"/>
        <n v="221"/>
        <n v="37"/>
        <n v="87"/>
        <n v="285"/>
        <n v="179"/>
        <n v="259"/>
        <n v="145"/>
        <n v="136"/>
        <n v="165"/>
        <n v="134"/>
        <n v="157"/>
        <n v="88"/>
        <n v="177"/>
        <n v="54"/>
        <n v="84"/>
        <n v="92"/>
      </sharedItems>
    </cacheField>
    <cacheField name="構成比（個人）" numFmtId="0" sqlType="3">
      <sharedItems containsSemiMixedTypes="0" containsString="0" containsNumber="1" minValue="0" maxValue="20.14" count="586">
        <n v="3.89"/>
        <n v="7.92"/>
        <n v="4.9000000000000004"/>
        <n v="5.36"/>
        <n v="4.0599999999999996"/>
        <n v="4.79"/>
        <n v="5.19"/>
        <n v="4.09"/>
        <n v="1.88"/>
        <n v="0.49"/>
        <n v="2.17"/>
        <n v="0.76"/>
        <n v="0.38"/>
        <n v="0.61"/>
        <n v="0.41"/>
        <n v="1.18"/>
        <n v="1.56"/>
        <n v="1.1299999999999999"/>
        <n v="0.56999999999999995"/>
        <n v="1.77"/>
        <n v="3.24"/>
        <n v="7.57"/>
        <n v="5.43"/>
        <n v="6.51"/>
        <n v="5.31"/>
        <n v="4.5199999999999996"/>
        <n v="5.24"/>
        <n v="0.56000000000000005"/>
        <n v="4.82"/>
        <n v="2.5099999999999998"/>
        <n v="3.81"/>
        <n v="1.26"/>
        <n v="0.11"/>
        <n v="0.47"/>
        <n v="3.48"/>
        <n v="0.48"/>
        <n v="1.54"/>
        <n v="0.24"/>
        <n v="5.74"/>
        <n v="10.11"/>
        <n v="7.93"/>
        <n v="6.38"/>
        <n v="1.21"/>
        <n v="5.97"/>
        <n v="5.1100000000000003"/>
        <n v="1.95"/>
        <n v="4.7699999999999996"/>
        <n v="3.16"/>
        <n v="0.4"/>
        <n v="0.06"/>
        <n v="3.96"/>
        <n v="1.78"/>
        <n v="3.39"/>
        <n v="0.23"/>
        <n v="2.1800000000000002"/>
        <n v="4.12"/>
        <n v="7.28"/>
        <n v="1.05"/>
        <n v="5.79"/>
        <n v="0.44"/>
        <n v="6.58"/>
        <n v="6.05"/>
        <n v="4.3"/>
        <n v="2.19"/>
        <n v="0.18"/>
        <n v="4.47"/>
        <n v="2.98"/>
        <n v="3.86"/>
        <n v="4.6500000000000004"/>
        <n v="0.35"/>
        <n v="0.09"/>
        <n v="3.42"/>
        <n v="0"/>
        <n v="3.77"/>
        <n v="1.58"/>
        <n v="7.61"/>
        <n v="7.78"/>
        <n v="5.64"/>
        <n v="5.91"/>
        <n v="0.6"/>
        <n v="4.22"/>
        <n v="4.87"/>
        <n v="3.61"/>
        <n v="0.55000000000000004"/>
        <n v="0.71"/>
        <n v="2.68"/>
        <n v="1.75"/>
        <n v="1.97"/>
        <n v="3.4"/>
        <n v="0.99"/>
        <n v="0.22"/>
        <n v="0.33"/>
        <n v="0.27"/>
        <n v="3.69"/>
        <n v="7.76"/>
        <n v="6.55"/>
        <n v="5.83"/>
        <n v="5.5"/>
        <n v="4.51"/>
        <n v="4.95"/>
        <n v="3.25"/>
        <n v="1.1599999999999999"/>
        <n v="0.66"/>
        <n v="0.72"/>
        <n v="1.98"/>
        <n v="3.08"/>
        <n v="1.38"/>
        <n v="1.87"/>
        <n v="6.84"/>
        <n v="7.35"/>
        <n v="0.51"/>
        <n v="5.53"/>
        <n v="4.05"/>
        <n v="4.62"/>
        <n v="0.34"/>
        <n v="2.39"/>
        <n v="4.5"/>
        <n v="0.97"/>
        <n v="1.08"/>
        <n v="0.28999999999999998"/>
        <n v="0.8"/>
        <n v="17.63"/>
        <n v="8.24"/>
        <n v="10.93"/>
        <n v="0.88"/>
        <n v="6.64"/>
        <n v="3.64"/>
        <n v="1.1200000000000001"/>
        <n v="5.28"/>
        <n v="3.95"/>
        <n v="7.0000000000000007E-2"/>
        <n v="1.29"/>
        <n v="3.71"/>
        <n v="2.62"/>
        <n v="2.2799999999999998"/>
        <n v="0.37"/>
        <n v="3.3"/>
        <n v="9.7200000000000006"/>
        <n v="7.65"/>
        <n v="5.51"/>
        <n v="0.92"/>
        <n v="3.98"/>
        <n v="1.45"/>
        <n v="3.29"/>
        <n v="2.14"/>
        <n v="0.69"/>
        <n v="1.3"/>
        <n v="1.1499999999999999"/>
        <n v="1.68"/>
        <n v="9.73"/>
        <n v="6.81"/>
        <n v="5.4"/>
        <n v="6.02"/>
        <n v="5.04"/>
        <n v="4.25"/>
        <n v="2.57"/>
        <n v="1.5"/>
        <n v="2.48"/>
        <n v="0.62"/>
        <n v="1.06"/>
        <n v="1.59"/>
        <n v="0.53"/>
        <n v="8.26"/>
        <n v="10.06"/>
        <n v="5.29"/>
        <n v="5.16"/>
        <n v="5.68"/>
        <n v="0.77"/>
        <n v="0.13"/>
        <n v="2.84"/>
        <n v="0.39"/>
        <n v="0.26"/>
        <n v="2.58"/>
        <n v="1.42"/>
        <n v="1.55"/>
        <n v="2.3199999999999998"/>
        <n v="7.97"/>
        <n v="7.38"/>
        <n v="6.79"/>
        <n v="0.21"/>
        <n v="4.3899999999999997"/>
        <n v="1.76"/>
        <n v="2.41"/>
        <n v="3.1"/>
        <n v="0.96"/>
        <n v="0.7"/>
        <n v="0.43"/>
        <n v="1.82"/>
        <n v="1.44"/>
        <n v="9.67"/>
        <n v="8.52"/>
        <n v="0.67"/>
        <n v="6.99"/>
        <n v="6.32"/>
        <n v="4.41"/>
        <n v="5.56"/>
        <n v="2.4900000000000002"/>
        <n v="0.86"/>
        <n v="0.19"/>
        <n v="2.2999999999999998"/>
        <n v="0.1"/>
        <n v="8.5"/>
        <n v="8.18"/>
        <n v="6.23"/>
        <n v="0.81"/>
        <n v="3.56"/>
        <n v="2.59"/>
        <n v="0.65"/>
        <n v="0.89"/>
        <n v="1.46"/>
        <n v="2.02"/>
        <n v="2.4700000000000002"/>
        <n v="7.79"/>
        <n v="7.24"/>
        <n v="1.37"/>
        <n v="3.02"/>
        <n v="0.46"/>
        <n v="2.29"/>
        <n v="4.67"/>
        <n v="0.64"/>
        <n v="1.65"/>
        <n v="0.73"/>
        <n v="0.82"/>
        <n v="9.1"/>
        <n v="7.31"/>
        <n v="1.1000000000000001"/>
        <n v="6.48"/>
        <n v="6.41"/>
        <n v="5.45"/>
        <n v="3.66"/>
        <n v="1.72"/>
        <n v="1.31"/>
        <n v="0.28000000000000003"/>
        <n v="0.9"/>
        <n v="0.83"/>
        <n v="2.31"/>
        <n v="11.32"/>
        <n v="7.85"/>
        <n v="6.45"/>
        <n v="7.02"/>
        <n v="0.5"/>
        <n v="6.12"/>
        <n v="5.37"/>
        <n v="0.57999999999999996"/>
        <n v="0.25"/>
        <n v="1.07"/>
        <n v="2.0699999999999998"/>
        <n v="4.38"/>
        <n v="1.32"/>
        <n v="2.23"/>
        <n v="0.08"/>
        <n v="10.51"/>
        <n v="6.67"/>
        <n v="5.81"/>
        <n v="2.74"/>
        <n v="5.9"/>
        <n v="3.85"/>
        <n v="5.13"/>
        <n v="4.53"/>
        <n v="1.71"/>
        <n v="2.0499999999999998"/>
        <n v="1.79"/>
        <n v="3.33"/>
        <n v="8.9700000000000006"/>
        <n v="3.38"/>
        <n v="4.28"/>
        <n v="4.6399999999999997"/>
        <n v="3.82"/>
        <n v="4.49"/>
        <n v="1.99"/>
        <n v="1.96"/>
        <n v="1.24"/>
        <n v="2.66"/>
        <n v="2.11"/>
        <n v="1.03"/>
        <n v="8.7100000000000009"/>
        <n v="3.35"/>
        <n v="4.8"/>
        <n v="4.0199999999999996"/>
        <n v="2.65"/>
        <n v="2.15"/>
        <n v="0.84"/>
        <n v="1.1399999999999999"/>
        <n v="2.0099999999999998"/>
        <n v="1.93"/>
        <n v="6.25"/>
        <n v="5.73"/>
        <n v="5.15"/>
        <n v="3.8"/>
        <n v="4.7300000000000004"/>
        <n v="2.1"/>
        <n v="3.07"/>
        <n v="1.22"/>
        <n v="10.28"/>
        <n v="5.99"/>
        <n v="2.35"/>
        <n v="5.42"/>
        <n v="5.0999999999999996"/>
        <n v="1.62"/>
        <n v="2.67"/>
        <n v="1.94"/>
        <n v="1.86"/>
        <n v="8.2799999999999994"/>
        <n v="5.2"/>
        <n v="2.34"/>
        <n v="5.49"/>
        <n v="5.05"/>
        <n v="2.42"/>
        <n v="2.93"/>
        <n v="2.2000000000000002"/>
        <n v="0.59"/>
        <n v="1.9"/>
        <n v="8.7200000000000006"/>
        <n v="6.62"/>
        <n v="6.37"/>
        <n v="5.35"/>
        <n v="5.26"/>
        <n v="2.38"/>
        <n v="1.69"/>
        <n v="1.23"/>
        <n v="1.1100000000000001"/>
        <n v="11.44"/>
        <n v="5.75"/>
        <n v="2.69"/>
        <n v="3.93"/>
        <n v="0.31"/>
        <n v="2.4300000000000002"/>
        <n v="0.52"/>
        <n v="1.92"/>
        <n v="8.44"/>
        <n v="6.42"/>
        <n v="2.52"/>
        <n v="1.51"/>
        <n v="2.77"/>
        <n v="1.01"/>
        <n v="1.39"/>
        <n v="0.63"/>
        <n v="7.06"/>
        <n v="3.63"/>
        <n v="2.75"/>
        <n v="3.04"/>
        <n v="2.5499999999999998"/>
        <n v="1.27"/>
        <n v="0.78"/>
        <n v="2.06"/>
        <n v="5.17"/>
        <n v="7.37"/>
        <n v="6.19"/>
        <n v="3.73"/>
        <n v="4.24"/>
        <n v="2.37"/>
        <n v="1.53"/>
        <n v="2.12"/>
        <n v="0.85"/>
        <n v="1.02"/>
        <n v="0.68"/>
        <n v="1.19"/>
        <n v="0.42"/>
        <n v="8.7799999999999994"/>
        <n v="7.98"/>
        <n v="4.1900000000000004"/>
        <n v="5.08"/>
        <n v="4.13"/>
        <n v="2.16"/>
        <n v="1.17"/>
        <n v="1.91"/>
        <n v="2"/>
        <n v="9.66"/>
        <n v="6.39"/>
        <n v="4.8899999999999997"/>
        <n v="4.16"/>
        <n v="2.78"/>
        <n v="1.61"/>
        <n v="7.58"/>
        <n v="4.37"/>
        <n v="4.07"/>
        <n v="2.83"/>
        <n v="1.84"/>
        <n v="2.27"/>
        <n v="0.98"/>
        <n v="1.28"/>
        <n v="1.67"/>
        <n v="4.5999999999999996"/>
        <n v="7.64"/>
        <n v="3.13"/>
        <n v="3.99"/>
        <n v="2.95"/>
        <n v="2.86"/>
        <n v="2.08"/>
        <n v="1.48"/>
        <n v="8.02"/>
        <n v="5.3"/>
        <n v="2.72"/>
        <n v="3.44"/>
        <n v="3.01"/>
        <n v="7.19"/>
        <n v="5.86"/>
        <n v="3.46"/>
        <n v="4.26"/>
        <n v="2.2599999999999998"/>
        <n v="1.2"/>
        <n v="1.6"/>
        <n v="1.33"/>
        <n v="7.72"/>
        <n v="2.88"/>
        <n v="3.6"/>
        <n v="1.85"/>
        <n v="1.34"/>
        <n v="8.08"/>
        <n v="1.25"/>
        <n v="2.79"/>
        <n v="6.44"/>
        <n v="5.58"/>
        <n v="5.67"/>
        <n v="5"/>
        <n v="0.87"/>
        <n v="2.6"/>
        <n v="3.27"/>
        <n v="4.33"/>
        <n v="7.88"/>
        <n v="4.6100000000000003"/>
        <n v="2.13"/>
        <n v="3.19"/>
        <n v="8.83"/>
        <n v="3.14"/>
        <n v="3.59"/>
        <n v="1.35"/>
        <n v="2.25"/>
        <n v="1.8"/>
        <n v="2.4"/>
        <n v="2.54"/>
        <n v="0.45"/>
        <n v="10.54"/>
        <n v="7.1"/>
        <n v="4.7"/>
        <n v="3.55"/>
        <n v="3.78"/>
        <n v="1.49"/>
        <n v="10.65"/>
        <n v="6.52"/>
        <n v="6.27"/>
        <n v="2.63"/>
        <n v="1"/>
        <n v="1.63"/>
        <n v="0.75"/>
        <n v="7.27"/>
        <n v="9.5"/>
        <n v="5.93"/>
        <n v="4.75"/>
        <n v="4.1500000000000004"/>
        <n v="3.41"/>
        <n v="3.26"/>
        <n v="0.15"/>
        <n v="0.3"/>
        <n v="0.74"/>
        <n v="8.01"/>
        <n v="2.97"/>
        <n v="4.8099999999999996"/>
        <n v="3.43"/>
        <n v="4.3499999999999996"/>
        <n v="1.83"/>
        <n v="11.9"/>
        <n v="6.35"/>
        <n v="1.43"/>
        <n v="0.32"/>
        <n v="0.79"/>
        <n v="9.09"/>
        <n v="2.96"/>
        <n v="6.13"/>
        <n v="4.4400000000000004"/>
        <n v="4.2300000000000004"/>
        <n v="3.17"/>
        <n v="14.06"/>
        <n v="7.59"/>
        <n v="6.92"/>
        <n v="6.7"/>
        <n v="4.46"/>
        <n v="2.9"/>
        <n v="8.07"/>
        <n v="5.96"/>
        <n v="2.46"/>
        <n v="4.5599999999999996"/>
        <n v="5.57"/>
        <n v="11.52"/>
        <n v="6.72"/>
        <n v="6.14"/>
        <n v="5.95"/>
        <n v="10.01"/>
        <n v="6.87"/>
        <n v="3"/>
        <n v="3.72"/>
        <n v="1.57"/>
        <n v="6.9"/>
        <n v="3.76"/>
        <n v="0.94"/>
        <n v="1.41"/>
        <n v="5.66"/>
        <n v="4.6900000000000004"/>
        <n v="0.16"/>
        <n v="7.45"/>
        <n v="6.96"/>
        <n v="5.09"/>
        <n v="2.36"/>
        <n v="3.23"/>
        <n v="3.11"/>
        <n v="7.5"/>
        <n v="5.72"/>
        <n v="5.52"/>
        <n v="4.93"/>
        <n v="4.1399999999999997"/>
        <n v="3.94"/>
        <n v="2.56"/>
        <n v="15.29"/>
        <n v="5.34"/>
        <n v="6.07"/>
        <n v="3.88"/>
        <n v="1.7"/>
        <n v="6.93"/>
        <n v="8.4700000000000006"/>
        <n v="4.78"/>
        <n v="3.54"/>
        <n v="10.8"/>
        <n v="11.36"/>
        <n v="4.55"/>
        <n v="9.9700000000000006"/>
        <n v="6.54"/>
        <n v="5.61"/>
        <n v="4.9800000000000004"/>
        <n v="3.12"/>
        <n v="0.93"/>
        <n v="12.88"/>
        <n v="9.1999999999999993"/>
        <n v="4.91"/>
        <n v="2.4500000000000002"/>
        <n v="3.68"/>
        <n v="10.98"/>
        <n v="7.32"/>
        <n v="8.5399999999999991"/>
        <n v="4.2699999999999996"/>
        <n v="4.88"/>
        <n v="2.44"/>
        <n v="7.43"/>
        <n v="8"/>
        <n v="6.57"/>
        <n v="6.29"/>
        <n v="6"/>
        <n v="5.71"/>
        <n v="4.8600000000000003"/>
        <n v="20.14"/>
        <n v="4.59"/>
        <n v="7.71"/>
        <n v="6.75"/>
        <n v="6.76"/>
        <n v="8.11"/>
        <n v="9.4600000000000009"/>
        <n v="2.7"/>
        <n v="5.41"/>
        <n v="5.69"/>
        <n v="2.85"/>
        <n v="2.0299999999999998"/>
        <n v="4.58"/>
        <n v="6.59"/>
        <n v="4.01"/>
        <n v="11.27"/>
        <n v="3.28"/>
        <n v="4.0999999999999996"/>
        <n v="2.87"/>
        <n v="1.64"/>
        <n v="16.45"/>
        <n v="2.92"/>
        <n v="10.24"/>
        <n v="6.2"/>
        <n v="5.39"/>
        <n v="5.12"/>
        <n v="0.54"/>
        <n v="1.89"/>
        <n v="8.1199999999999992"/>
        <n v="4.45"/>
        <n v="4.97"/>
        <n v="2.09"/>
        <n v="2.04"/>
        <n v="7.14"/>
        <n v="3.06"/>
        <n v="4.08"/>
        <n v="14.29"/>
        <n v="3.57"/>
      </sharedItems>
    </cacheField>
    <cacheField name="総数（法人）" numFmtId="0" sqlType="4">
      <sharedItems containsSemiMixedTypes="0" containsString="0" containsNumber="1" containsInteger="1" minValue="0" maxValue="4338" count="158">
        <n v="4338"/>
        <n v="1028"/>
        <n v="1017"/>
        <n v="415"/>
        <n v="1126"/>
        <n v="534"/>
        <n v="223"/>
        <n v="405"/>
        <n v="1548"/>
        <n v="2468"/>
        <n v="1103"/>
        <n v="2020"/>
        <n v="1988"/>
        <n v="1817"/>
        <n v="1848"/>
        <n v="1231"/>
        <n v="944"/>
        <n v="1226"/>
        <n v="1556"/>
        <n v="660"/>
        <n v="2369"/>
        <n v="445"/>
        <n v="553"/>
        <n v="175"/>
        <n v="265"/>
        <n v="431"/>
        <n v="239"/>
        <n v="1198"/>
        <n v="81"/>
        <n v="450"/>
        <n v="144"/>
        <n v="626"/>
        <n v="868"/>
        <n v="791"/>
        <n v="79"/>
        <n v="723"/>
        <n v="732"/>
        <n v="401"/>
        <n v="682"/>
        <n v="254"/>
        <n v="39"/>
        <n v="58"/>
        <n v="42"/>
        <n v="108"/>
        <n v="24"/>
        <n v="16"/>
        <n v="68"/>
        <n v="19"/>
        <n v="45"/>
        <n v="92"/>
        <n v="93"/>
        <n v="5"/>
        <n v="37"/>
        <n v="59"/>
        <n v="4"/>
        <n v="56"/>
        <n v="22"/>
        <n v="52"/>
        <n v="146"/>
        <n v="33"/>
        <n v="86"/>
        <n v="26"/>
        <n v="82"/>
        <n v="9"/>
        <n v="12"/>
        <n v="30"/>
        <n v="51"/>
        <n v="63"/>
        <n v="14"/>
        <n v="25"/>
        <n v="15"/>
        <n v="54"/>
        <n v="49"/>
        <n v="50"/>
        <n v="3"/>
        <n v="28"/>
        <n v="133"/>
        <n v="21"/>
        <n v="6"/>
        <n v="90"/>
        <n v="18"/>
        <n v="2"/>
        <n v="71"/>
        <n v="61"/>
        <n v="23"/>
        <n v="35"/>
        <n v="53"/>
        <n v="154"/>
        <n v="29"/>
        <n v="34"/>
        <n v="13"/>
        <n v="65"/>
        <n v="69"/>
        <n v="41"/>
        <n v="31"/>
        <n v="168"/>
        <n v="120"/>
        <n v="17"/>
        <n v="32"/>
        <n v="11"/>
        <n v="78"/>
        <n v="57"/>
        <n v="55"/>
        <n v="84"/>
        <n v="159"/>
        <n v="279"/>
        <n v="235"/>
        <n v="150"/>
        <n v="27"/>
        <n v="66"/>
        <n v="166"/>
        <n v="128"/>
        <n v="135"/>
        <n v="141"/>
        <n v="123"/>
        <n v="121"/>
        <n v="202"/>
        <n v="47"/>
        <n v="7"/>
        <n v="20"/>
        <n v="36"/>
        <n v="1"/>
        <n v="8"/>
        <n v="38"/>
        <n v="10"/>
        <n v="64"/>
        <n v="44"/>
        <n v="60"/>
        <n v="48"/>
        <n v="83"/>
        <n v="62"/>
        <n v="40"/>
        <n v="43"/>
        <n v="46"/>
        <n v="217"/>
        <n v="158"/>
        <n v="113"/>
        <n v="74"/>
        <n v="87"/>
        <n v="94"/>
        <n v="70"/>
        <n v="145"/>
        <n v="126"/>
        <n v="88"/>
        <n v="104"/>
        <n v="212"/>
        <n v="91"/>
        <n v="103"/>
        <n v="143"/>
        <n v="101"/>
        <n v="122"/>
        <n v="77"/>
        <n v="142"/>
        <n v="85"/>
        <n v="0"/>
        <n v="151"/>
        <n v="99"/>
        <n v="80"/>
      </sharedItems>
    </cacheField>
    <cacheField name="構成比（法人）" numFmtId="0" sqlType="3">
      <sharedItems containsSemiMixedTypes="0" containsString="0" containsNumber="1" minValue="0" maxValue="18.18" count="404">
        <n v="4.7699999999999996"/>
        <n v="1.1299999999999999"/>
        <n v="1.1200000000000001"/>
        <n v="0.46"/>
        <n v="1.24"/>
        <n v="0.59"/>
        <n v="0.25"/>
        <n v="0.45"/>
        <n v="1.7"/>
        <n v="2.72"/>
        <n v="1.21"/>
        <n v="2.2200000000000002"/>
        <n v="2.19"/>
        <n v="2"/>
        <n v="2.0299999999999998"/>
        <n v="1.35"/>
        <n v="1.04"/>
        <n v="1.71"/>
        <n v="0.73"/>
        <n v="6.03"/>
        <n v="1.41"/>
        <n v="0.67"/>
        <n v="1.1000000000000001"/>
        <n v="0.61"/>
        <n v="3.05"/>
        <n v="0.21"/>
        <n v="1.1499999999999999"/>
        <n v="0.37"/>
        <n v="1.59"/>
        <n v="2.21"/>
        <n v="2.0099999999999998"/>
        <n v="0.2"/>
        <n v="1.84"/>
        <n v="1.86"/>
        <n v="1.02"/>
        <n v="1.74"/>
        <n v="9.81"/>
        <n v="1.51"/>
        <n v="2.2400000000000002"/>
        <n v="1.62"/>
        <n v="4.17"/>
        <n v="0.93"/>
        <n v="0.62"/>
        <n v="2.63"/>
        <n v="3.55"/>
        <n v="3.59"/>
        <n v="0.19"/>
        <n v="1.43"/>
        <n v="2.2799999999999998"/>
        <n v="0.15"/>
        <n v="2.16"/>
        <n v="0.85"/>
        <n v="6.45"/>
        <n v="1.46"/>
        <n v="3.8"/>
        <n v="3.63"/>
        <n v="0.4"/>
        <n v="0.53"/>
        <n v="1.33"/>
        <n v="2.25"/>
        <n v="2.79"/>
        <n v="1.1100000000000001"/>
        <n v="0.66"/>
        <n v="0.22"/>
        <n v="2.39"/>
        <n v="2.17"/>
        <n v="0.13"/>
        <n v="5.65"/>
        <n v="0.89"/>
        <n v="3.82"/>
        <n v="0.76"/>
        <n v="0.08"/>
        <n v="0.81"/>
        <n v="3.02"/>
        <n v="2.59"/>
        <n v="0.98"/>
        <n v="1.49"/>
        <n v="1.19"/>
        <n v="1.78"/>
        <n v="2.08"/>
        <n v="2.12"/>
        <n v="5.3"/>
        <n v="0.48"/>
        <n v="1"/>
        <n v="1.17"/>
        <n v="0.72"/>
        <n v="0.14000000000000001"/>
        <n v="0.86"/>
        <n v="2.44"/>
        <n v="2.38"/>
        <n v="1.83"/>
        <n v="1.93"/>
        <n v="0.9"/>
        <n v="0.1"/>
        <n v="1.07"/>
        <n v="4.84"/>
        <n v="1.18"/>
        <n v="1.99"/>
        <n v="0.43"/>
        <n v="3.46"/>
        <n v="0.49"/>
        <n v="0.92"/>
        <n v="0.32"/>
        <n v="2.36"/>
        <n v="0.09"/>
        <n v="2.04"/>
        <n v="1.64"/>
        <n v="1.5"/>
        <n v="1.81"/>
        <n v="1.58"/>
        <n v="1.4"/>
        <n v="2.65"/>
        <n v="4.66"/>
        <n v="1.3"/>
        <n v="3.92"/>
        <n v="1.8"/>
        <n v="2.5"/>
        <n v="2.77"/>
        <n v="2.14"/>
        <n v="2.35"/>
        <n v="2.0499999999999998"/>
        <n v="2.02"/>
        <n v="0.55000000000000004"/>
        <n v="11.43"/>
        <n v="1.47"/>
        <n v="0.74"/>
        <n v="3.68"/>
        <n v="1.36"/>
        <n v="2.66"/>
        <n v="2.94"/>
        <n v="1.87"/>
        <n v="0.23"/>
        <n v="11.04"/>
        <n v="1.94"/>
        <n v="1.25"/>
        <n v="0.63"/>
        <n v="0.97"/>
        <n v="4.0999999999999996"/>
        <n v="7.0000000000000007E-2"/>
        <n v="0.83"/>
        <n v="1.67"/>
        <n v="2.57"/>
        <n v="2.15"/>
        <n v="1.88"/>
        <n v="1.39"/>
        <n v="5.13"/>
        <n v="0.47"/>
        <n v="0.95"/>
        <n v="1.26"/>
        <n v="2.76"/>
        <n v="3"/>
        <n v="2.37"/>
        <n v="0.79"/>
        <n v="2.13"/>
        <n v="1.97"/>
        <n v="1.66"/>
        <n v="0.87"/>
        <n v="0.11"/>
        <n v="4.41"/>
        <n v="0.68"/>
        <n v="2.2999999999999998"/>
        <n v="2.33"/>
        <n v="0.65"/>
        <n v="1.08"/>
        <n v="3.43"/>
        <n v="0.39"/>
        <n v="1.98"/>
        <n v="2.27"/>
        <n v="1.69"/>
        <n v="0.31"/>
        <n v="0.42"/>
        <n v="0.52"/>
        <n v="3.62"/>
        <n v="3.04"/>
        <n v="2.78"/>
        <n v="1.31"/>
        <n v="2.52"/>
        <n v="2.2000000000000002"/>
        <n v="1.42"/>
        <n v="4.0599999999999996"/>
        <n v="0.34"/>
        <n v="3.23"/>
        <n v="2.64"/>
        <n v="3.13"/>
        <n v="1.32"/>
        <n v="2.6"/>
        <n v="1.57"/>
        <n v="1.52"/>
        <n v="3.95"/>
        <n v="3.35"/>
        <n v="1.1599999999999999"/>
        <n v="1.89"/>
        <n v="2.1"/>
        <n v="1.72"/>
        <n v="10.26"/>
        <n v="1.37"/>
        <n v="1.23"/>
        <n v="3.83"/>
        <n v="0.33"/>
        <n v="2.88"/>
        <n v="3.12"/>
        <n v="2.84"/>
        <n v="1.65"/>
        <n v="0.05"/>
        <n v="1.0900000000000001"/>
        <n v="1.75"/>
        <n v="7.75"/>
        <n v="0.7"/>
        <n v="0.91"/>
        <n v="2.42"/>
        <n v="0.3"/>
        <n v="1.01"/>
        <n v="2.87"/>
        <n v="2.92"/>
        <n v="2.62"/>
        <n v="2.4700000000000002"/>
        <n v="1.56"/>
        <n v="1.28"/>
        <n v="0.6"/>
        <n v="0.44"/>
        <n v="2.73"/>
        <n v="1.48"/>
        <n v="1.79"/>
        <n v="1.55"/>
        <n v="2.11"/>
        <n v="3.98"/>
        <n v="0.38"/>
        <n v="2.97"/>
        <n v="2.86"/>
        <n v="0.77"/>
        <n v="1.73"/>
        <n v="4.6399999999999997"/>
        <n v="2.2599999999999998"/>
        <n v="2.67"/>
        <n v="1.91"/>
        <n v="1.45"/>
        <n v="9.77"/>
        <n v="3.3"/>
        <n v="0.41"/>
        <n v="3.65"/>
        <n v="2.34"/>
        <n v="0.28000000000000003"/>
        <n v="1.27"/>
        <n v="4.37"/>
        <n v="0.24"/>
        <n v="3.25"/>
        <n v="3.1"/>
        <n v="2.46"/>
        <n v="0.16"/>
        <n v="0.71"/>
        <n v="1.2"/>
        <n v="0.51"/>
        <n v="2.89"/>
        <n v="2.69"/>
        <n v="0.8"/>
        <n v="3.01"/>
        <n v="2.61"/>
        <n v="2.9"/>
        <n v="0.82"/>
        <n v="4.21"/>
        <n v="0.54"/>
        <n v="0.27"/>
        <n v="2.58"/>
        <n v="1.22"/>
        <n v="1.9"/>
        <n v="2.4500000000000002"/>
        <n v="4.01"/>
        <n v="0"/>
        <n v="2.81"/>
        <n v="2.41"/>
        <n v="1.34"/>
        <n v="4.49"/>
        <n v="3.54"/>
        <n v="1.77"/>
        <n v="1.29"/>
        <n v="2.1800000000000002"/>
        <n v="4.32"/>
        <n v="0.17"/>
        <n v="2.3199999999999998"/>
        <n v="2.83"/>
        <n v="1.54"/>
        <n v="1.03"/>
        <n v="0.94"/>
        <n v="4.79"/>
        <n v="0.18"/>
        <n v="3.19"/>
        <n v="0.06"/>
        <n v="2.09"/>
        <n v="0.26"/>
        <n v="4.5599999999999996"/>
        <n v="1.38"/>
        <n v="3.5"/>
        <n v="1.06"/>
        <n v="1.61"/>
        <n v="0.28999999999999998"/>
        <n v="0.88"/>
        <n v="5.01"/>
        <n v="0.57999999999999996"/>
        <n v="0.12"/>
        <n v="1.05"/>
        <n v="3.06"/>
        <n v="2.5099999999999998"/>
        <n v="2.71"/>
        <n v="2.31"/>
        <n v="0.96"/>
        <n v="4.1900000000000004"/>
        <n v="1.92"/>
        <n v="3.41"/>
        <n v="5.97"/>
        <n v="3.84"/>
        <n v="2.99"/>
        <n v="2.56"/>
        <n v="0.64"/>
        <n v="1.96"/>
        <n v="2.68"/>
        <n v="2.23"/>
        <n v="3.53"/>
        <n v="4.05"/>
        <n v="2.8"/>
        <n v="1.1399999999999999"/>
        <n v="4.76"/>
        <n v="1.76"/>
        <n v="2.29"/>
        <n v="0.35"/>
        <n v="5.74"/>
        <n v="0.56999999999999995"/>
        <n v="1.53"/>
        <n v="2.4900000000000002"/>
        <n v="4.6100000000000003"/>
        <n v="4"/>
        <n v="3.03"/>
        <n v="3.27"/>
        <n v="3.15"/>
        <n v="1.82"/>
        <n v="6.56"/>
        <n v="4.2"/>
        <n v="3.94"/>
        <n v="7.97"/>
        <n v="3.14"/>
        <n v="4.88"/>
        <n v="3.16"/>
        <n v="6.9"/>
        <n v="4.8"/>
        <n v="3.6"/>
        <n v="3.4"/>
        <n v="4.42"/>
        <n v="3.26"/>
        <n v="1.63"/>
        <n v="4.3600000000000003"/>
        <n v="4.29"/>
        <n v="5.18"/>
        <n v="4.3499999999999996"/>
        <n v="2.48"/>
        <n v="2.0699999999999998"/>
        <n v="0.36"/>
        <n v="3.08"/>
        <n v="2.96"/>
        <n v="6.59"/>
        <n v="3.21"/>
        <n v="0.84"/>
        <n v="3.72"/>
        <n v="3.38"/>
        <n v="2.7"/>
        <n v="2.5499999999999998"/>
        <n v="0.69"/>
        <n v="1.85"/>
        <n v="8.26"/>
        <n v="3.48"/>
        <n v="7.14"/>
        <n v="3.97"/>
        <n v="3.2"/>
        <n v="5.94"/>
        <n v="0.99"/>
        <n v="6.28"/>
        <n v="3.49"/>
        <n v="7.88"/>
        <n v="4.43"/>
        <n v="6.4"/>
        <n v="5.42"/>
        <n v="3.45"/>
        <n v="3.79"/>
        <n v="4.74"/>
        <n v="4.2699999999999996"/>
        <n v="3.32"/>
        <n v="6.05"/>
        <n v="5"/>
        <n v="3.42"/>
        <n v="6.49"/>
        <n v="9.74"/>
        <n v="1.95"/>
        <n v="4.55"/>
        <n v="4.7300000000000004"/>
        <n v="2.06"/>
        <n v="4.12"/>
        <n v="4.47"/>
        <n v="5.15"/>
        <n v="2.75"/>
        <n v="3.09"/>
        <n v="3.11"/>
        <n v="9.09"/>
        <n v="5.45"/>
        <n v="3.64"/>
        <n v="13.79"/>
        <n v="18.18"/>
      </sharedItems>
    </cacheField>
    <cacheField name="総数（法人以外の団体）" numFmtId="0" sqlType="4">
      <sharedItems containsSemiMixedTypes="0" containsString="0" containsNumber="1" containsInteger="1" minValue="0" maxValue="16" count="9">
        <n v="4"/>
        <n v="1"/>
        <n v="16"/>
        <n v="5"/>
        <n v="0"/>
        <n v="2"/>
        <n v="3"/>
        <n v="7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5">
  <r>
    <x v="0"/>
    <s v="愛知県"/>
    <x v="0"/>
    <x v="0"/>
    <n v="32"/>
    <n v="0.02"/>
    <n v="0"/>
    <n v="0"/>
    <n v="32"/>
    <n v="0.04"/>
    <x v="0"/>
  </r>
  <r>
    <x v="0"/>
    <s v="愛知県"/>
    <x v="0"/>
    <x v="1"/>
    <n v="21624"/>
    <n v="13.02"/>
    <n v="4879"/>
    <n v="6.56"/>
    <n v="16739"/>
    <n v="18.420000000000002"/>
    <x v="1"/>
  </r>
  <r>
    <x v="0"/>
    <s v="愛知県"/>
    <x v="0"/>
    <x v="2"/>
    <n v="20928"/>
    <n v="12.6"/>
    <n v="6534"/>
    <n v="8.7899999999999991"/>
    <n v="14389"/>
    <n v="15.83"/>
    <x v="2"/>
  </r>
  <r>
    <x v="0"/>
    <s v="愛知県"/>
    <x v="0"/>
    <x v="3"/>
    <n v="239"/>
    <n v="0.14000000000000001"/>
    <n v="6"/>
    <n v="0.01"/>
    <n v="223"/>
    <n v="0.25"/>
    <x v="0"/>
  </r>
  <r>
    <x v="0"/>
    <s v="愛知県"/>
    <x v="0"/>
    <x v="4"/>
    <n v="1809"/>
    <n v="1.0900000000000001"/>
    <n v="89"/>
    <n v="0.12"/>
    <n v="1716"/>
    <n v="1.89"/>
    <x v="3"/>
  </r>
  <r>
    <x v="0"/>
    <s v="愛知県"/>
    <x v="0"/>
    <x v="5"/>
    <n v="1813"/>
    <n v="1.0900000000000001"/>
    <n v="242"/>
    <n v="0.33"/>
    <n v="1552"/>
    <n v="1.71"/>
    <x v="4"/>
  </r>
  <r>
    <x v="0"/>
    <s v="愛知県"/>
    <x v="0"/>
    <x v="6"/>
    <n v="34840"/>
    <n v="20.98"/>
    <n v="13551"/>
    <n v="18.22"/>
    <n v="21268"/>
    <n v="23.4"/>
    <x v="5"/>
  </r>
  <r>
    <x v="0"/>
    <s v="愛知県"/>
    <x v="0"/>
    <x v="7"/>
    <n v="1186"/>
    <n v="0.71"/>
    <n v="145"/>
    <n v="0.19"/>
    <n v="1040"/>
    <n v="1.1399999999999999"/>
    <x v="6"/>
  </r>
  <r>
    <x v="0"/>
    <s v="愛知県"/>
    <x v="0"/>
    <x v="8"/>
    <n v="16117"/>
    <n v="9.6999999999999993"/>
    <n v="4410"/>
    <n v="5.93"/>
    <n v="11680"/>
    <n v="12.85"/>
    <x v="7"/>
  </r>
  <r>
    <x v="0"/>
    <s v="愛知県"/>
    <x v="0"/>
    <x v="9"/>
    <n v="10226"/>
    <n v="6.16"/>
    <n v="5316"/>
    <n v="7.15"/>
    <n v="4877"/>
    <n v="5.37"/>
    <x v="8"/>
  </r>
  <r>
    <x v="0"/>
    <s v="愛知県"/>
    <x v="0"/>
    <x v="10"/>
    <n v="18393"/>
    <n v="11.08"/>
    <n v="14337"/>
    <n v="19.28"/>
    <n v="3995"/>
    <n v="4.4000000000000004"/>
    <x v="9"/>
  </r>
  <r>
    <x v="0"/>
    <s v="愛知県"/>
    <x v="0"/>
    <x v="11"/>
    <n v="18116"/>
    <n v="10.91"/>
    <n v="13174"/>
    <n v="17.72"/>
    <n v="4885"/>
    <n v="5.37"/>
    <x v="10"/>
  </r>
  <r>
    <x v="0"/>
    <s v="愛知県"/>
    <x v="0"/>
    <x v="12"/>
    <n v="7194"/>
    <n v="4.33"/>
    <n v="4986"/>
    <n v="6.71"/>
    <n v="2016"/>
    <n v="2.2200000000000002"/>
    <x v="11"/>
  </r>
  <r>
    <x v="0"/>
    <s v="愛知県"/>
    <x v="0"/>
    <x v="13"/>
    <n v="7661"/>
    <n v="4.6100000000000003"/>
    <n v="4874"/>
    <n v="6.55"/>
    <n v="2545"/>
    <n v="2.8"/>
    <x v="12"/>
  </r>
  <r>
    <x v="0"/>
    <s v="愛知県"/>
    <x v="0"/>
    <x v="14"/>
    <n v="5898"/>
    <n v="3.55"/>
    <n v="1819"/>
    <n v="2.4500000000000002"/>
    <n v="3932"/>
    <n v="4.33"/>
    <x v="13"/>
  </r>
  <r>
    <x v="0"/>
    <s v="名古屋市"/>
    <x v="1"/>
    <x v="0"/>
    <n v="3"/>
    <n v="0"/>
    <n v="0"/>
    <n v="0"/>
    <n v="3"/>
    <n v="0.01"/>
    <x v="0"/>
  </r>
  <r>
    <x v="0"/>
    <s v="名古屋市"/>
    <x v="1"/>
    <x v="1"/>
    <n v="6499"/>
    <n v="10.33"/>
    <n v="718"/>
    <n v="3.06"/>
    <n v="5779"/>
    <n v="14.71"/>
    <x v="14"/>
  </r>
  <r>
    <x v="0"/>
    <s v="名古屋市"/>
    <x v="1"/>
    <x v="2"/>
    <n v="6561"/>
    <n v="10.43"/>
    <n v="1499"/>
    <n v="6.38"/>
    <n v="5062"/>
    <n v="12.89"/>
    <x v="0"/>
  </r>
  <r>
    <x v="0"/>
    <s v="名古屋市"/>
    <x v="1"/>
    <x v="3"/>
    <n v="58"/>
    <n v="0.09"/>
    <n v="0"/>
    <n v="0"/>
    <n v="58"/>
    <n v="0.15"/>
    <x v="0"/>
  </r>
  <r>
    <x v="0"/>
    <s v="名古屋市"/>
    <x v="1"/>
    <x v="4"/>
    <n v="1111"/>
    <n v="1.77"/>
    <n v="50"/>
    <n v="0.21"/>
    <n v="1058"/>
    <n v="2.69"/>
    <x v="15"/>
  </r>
  <r>
    <x v="0"/>
    <s v="名古屋市"/>
    <x v="1"/>
    <x v="5"/>
    <n v="597"/>
    <n v="0.95"/>
    <n v="82"/>
    <n v="0.35"/>
    <n v="514"/>
    <n v="1.31"/>
    <x v="6"/>
  </r>
  <r>
    <x v="0"/>
    <s v="名古屋市"/>
    <x v="1"/>
    <x v="6"/>
    <n v="13528"/>
    <n v="21.51"/>
    <n v="3817"/>
    <n v="16.239999999999998"/>
    <n v="9705"/>
    <n v="24.7"/>
    <x v="1"/>
  </r>
  <r>
    <x v="0"/>
    <s v="名古屋市"/>
    <x v="1"/>
    <x v="7"/>
    <n v="552"/>
    <n v="0.88"/>
    <n v="41"/>
    <n v="0.17"/>
    <n v="510"/>
    <n v="1.3"/>
    <x v="6"/>
  </r>
  <r>
    <x v="0"/>
    <s v="名古屋市"/>
    <x v="1"/>
    <x v="8"/>
    <n v="7315"/>
    <n v="11.63"/>
    <n v="1193"/>
    <n v="5.08"/>
    <n v="6108"/>
    <n v="15.55"/>
    <x v="4"/>
  </r>
  <r>
    <x v="0"/>
    <s v="名古屋市"/>
    <x v="1"/>
    <x v="9"/>
    <n v="5194"/>
    <n v="8.26"/>
    <n v="2506"/>
    <n v="10.66"/>
    <n v="2678"/>
    <n v="6.82"/>
    <x v="16"/>
  </r>
  <r>
    <x v="0"/>
    <s v="名古屋市"/>
    <x v="1"/>
    <x v="10"/>
    <n v="7651"/>
    <n v="12.17"/>
    <n v="5827"/>
    <n v="24.8"/>
    <n v="1815"/>
    <n v="4.62"/>
    <x v="0"/>
  </r>
  <r>
    <x v="0"/>
    <s v="名古屋市"/>
    <x v="1"/>
    <x v="11"/>
    <n v="6330"/>
    <n v="10.07"/>
    <n v="4053"/>
    <n v="17.25"/>
    <n v="2273"/>
    <n v="5.79"/>
    <x v="15"/>
  </r>
  <r>
    <x v="0"/>
    <s v="名古屋市"/>
    <x v="1"/>
    <x v="12"/>
    <n v="2324"/>
    <n v="3.7"/>
    <n v="1433"/>
    <n v="6.1"/>
    <n v="873"/>
    <n v="2.2200000000000002"/>
    <x v="4"/>
  </r>
  <r>
    <x v="0"/>
    <s v="名古屋市"/>
    <x v="1"/>
    <x v="13"/>
    <n v="2892"/>
    <n v="4.5999999999999996"/>
    <n v="1794"/>
    <n v="7.63"/>
    <n v="1091"/>
    <n v="2.78"/>
    <x v="9"/>
  </r>
  <r>
    <x v="0"/>
    <s v="名古屋市"/>
    <x v="1"/>
    <x v="14"/>
    <n v="2269"/>
    <n v="3.61"/>
    <n v="486"/>
    <n v="2.0699999999999998"/>
    <n v="1757"/>
    <n v="4.47"/>
    <x v="17"/>
  </r>
  <r>
    <x v="0"/>
    <s v="名古屋市千種区"/>
    <x v="2"/>
    <x v="0"/>
    <n v="0"/>
    <n v="0"/>
    <n v="0"/>
    <n v="0"/>
    <n v="0"/>
    <n v="0"/>
    <x v="0"/>
  </r>
  <r>
    <x v="0"/>
    <s v="名古屋市千種区"/>
    <x v="2"/>
    <x v="1"/>
    <n v="259"/>
    <n v="5.97"/>
    <n v="22"/>
    <n v="1.26"/>
    <n v="237"/>
    <n v="9.15"/>
    <x v="0"/>
  </r>
  <r>
    <x v="0"/>
    <s v="名古屋市千種区"/>
    <x v="2"/>
    <x v="2"/>
    <n v="157"/>
    <n v="3.62"/>
    <n v="24"/>
    <n v="1.38"/>
    <n v="133"/>
    <n v="5.14"/>
    <x v="0"/>
  </r>
  <r>
    <x v="0"/>
    <s v="名古屋市千種区"/>
    <x v="2"/>
    <x v="3"/>
    <n v="4"/>
    <n v="0.09"/>
    <n v="0"/>
    <n v="0"/>
    <n v="4"/>
    <n v="0.15"/>
    <x v="0"/>
  </r>
  <r>
    <x v="0"/>
    <s v="名古屋市千種区"/>
    <x v="2"/>
    <x v="4"/>
    <n v="81"/>
    <n v="1.87"/>
    <n v="1"/>
    <n v="0.06"/>
    <n v="80"/>
    <n v="3.09"/>
    <x v="0"/>
  </r>
  <r>
    <x v="0"/>
    <s v="名古屋市千種区"/>
    <x v="2"/>
    <x v="5"/>
    <n v="19"/>
    <n v="0.44"/>
    <n v="4"/>
    <n v="0.23"/>
    <n v="15"/>
    <n v="0.57999999999999996"/>
    <x v="0"/>
  </r>
  <r>
    <x v="0"/>
    <s v="名古屋市千種区"/>
    <x v="2"/>
    <x v="6"/>
    <n v="911"/>
    <n v="21.01"/>
    <n v="291"/>
    <n v="16.71"/>
    <n v="620"/>
    <n v="23.94"/>
    <x v="0"/>
  </r>
  <r>
    <x v="0"/>
    <s v="名古屋市千種区"/>
    <x v="2"/>
    <x v="7"/>
    <n v="27"/>
    <n v="0.62"/>
    <n v="3"/>
    <n v="0.17"/>
    <n v="24"/>
    <n v="0.93"/>
    <x v="0"/>
  </r>
  <r>
    <x v="0"/>
    <s v="名古屋市千種区"/>
    <x v="2"/>
    <x v="8"/>
    <n v="749"/>
    <n v="17.27"/>
    <n v="143"/>
    <n v="8.2100000000000009"/>
    <n v="605"/>
    <n v="23.36"/>
    <x v="6"/>
  </r>
  <r>
    <x v="0"/>
    <s v="名古屋市千種区"/>
    <x v="2"/>
    <x v="9"/>
    <n v="441"/>
    <n v="10.17"/>
    <n v="188"/>
    <n v="10.8"/>
    <n v="253"/>
    <n v="9.77"/>
    <x v="0"/>
  </r>
  <r>
    <x v="0"/>
    <s v="名古屋市千種区"/>
    <x v="2"/>
    <x v="10"/>
    <n v="587"/>
    <n v="13.54"/>
    <n v="424"/>
    <n v="24.35"/>
    <n v="163"/>
    <n v="6.29"/>
    <x v="0"/>
  </r>
  <r>
    <x v="0"/>
    <s v="名古屋市千種区"/>
    <x v="2"/>
    <x v="11"/>
    <n v="505"/>
    <n v="11.65"/>
    <n v="320"/>
    <n v="18.38"/>
    <n v="184"/>
    <n v="7.1"/>
    <x v="6"/>
  </r>
  <r>
    <x v="0"/>
    <s v="名古屋市千種区"/>
    <x v="2"/>
    <x v="12"/>
    <n v="232"/>
    <n v="5.35"/>
    <n v="142"/>
    <n v="8.16"/>
    <n v="90"/>
    <n v="3.47"/>
    <x v="0"/>
  </r>
  <r>
    <x v="0"/>
    <s v="名古屋市千種区"/>
    <x v="2"/>
    <x v="13"/>
    <n v="240"/>
    <n v="5.54"/>
    <n v="157"/>
    <n v="9.02"/>
    <n v="83"/>
    <n v="3.2"/>
    <x v="0"/>
  </r>
  <r>
    <x v="0"/>
    <s v="名古屋市千種区"/>
    <x v="2"/>
    <x v="14"/>
    <n v="124"/>
    <n v="2.86"/>
    <n v="22"/>
    <n v="1.26"/>
    <n v="99"/>
    <n v="3.82"/>
    <x v="15"/>
  </r>
  <r>
    <x v="0"/>
    <s v="名古屋市東区"/>
    <x v="3"/>
    <x v="0"/>
    <n v="0"/>
    <n v="0"/>
    <n v="0"/>
    <n v="0"/>
    <n v="0"/>
    <n v="0"/>
    <x v="0"/>
  </r>
  <r>
    <x v="0"/>
    <s v="名古屋市東区"/>
    <x v="3"/>
    <x v="1"/>
    <n v="213"/>
    <n v="6.25"/>
    <n v="14"/>
    <n v="1.23"/>
    <n v="199"/>
    <n v="8.8000000000000007"/>
    <x v="0"/>
  </r>
  <r>
    <x v="0"/>
    <s v="名古屋市東区"/>
    <x v="3"/>
    <x v="2"/>
    <n v="198"/>
    <n v="5.81"/>
    <n v="31"/>
    <n v="2.72"/>
    <n v="167"/>
    <n v="7.38"/>
    <x v="0"/>
  </r>
  <r>
    <x v="0"/>
    <s v="名古屋市東区"/>
    <x v="3"/>
    <x v="3"/>
    <n v="8"/>
    <n v="0.23"/>
    <n v="0"/>
    <n v="0"/>
    <n v="8"/>
    <n v="0.35"/>
    <x v="0"/>
  </r>
  <r>
    <x v="0"/>
    <s v="名古屋市東区"/>
    <x v="3"/>
    <x v="4"/>
    <n v="105"/>
    <n v="3.08"/>
    <n v="5"/>
    <n v="0.44"/>
    <n v="99"/>
    <n v="4.38"/>
    <x v="6"/>
  </r>
  <r>
    <x v="0"/>
    <s v="名古屋市東区"/>
    <x v="3"/>
    <x v="5"/>
    <n v="13"/>
    <n v="0.38"/>
    <n v="1"/>
    <n v="0.09"/>
    <n v="12"/>
    <n v="0.53"/>
    <x v="0"/>
  </r>
  <r>
    <x v="0"/>
    <s v="名古屋市東区"/>
    <x v="3"/>
    <x v="6"/>
    <n v="710"/>
    <n v="20.83"/>
    <n v="157"/>
    <n v="13.77"/>
    <n v="552"/>
    <n v="24.4"/>
    <x v="6"/>
  </r>
  <r>
    <x v="0"/>
    <s v="名古屋市東区"/>
    <x v="3"/>
    <x v="7"/>
    <n v="38"/>
    <n v="1.1100000000000001"/>
    <n v="0"/>
    <n v="0"/>
    <n v="38"/>
    <n v="1.68"/>
    <x v="0"/>
  </r>
  <r>
    <x v="0"/>
    <s v="名古屋市東区"/>
    <x v="3"/>
    <x v="8"/>
    <n v="538"/>
    <n v="15.78"/>
    <n v="84"/>
    <n v="7.37"/>
    <n v="453"/>
    <n v="20.03"/>
    <x v="6"/>
  </r>
  <r>
    <x v="0"/>
    <s v="名古屋市東区"/>
    <x v="3"/>
    <x v="9"/>
    <n v="513"/>
    <n v="15.05"/>
    <n v="246"/>
    <n v="21.58"/>
    <n v="267"/>
    <n v="11.8"/>
    <x v="0"/>
  </r>
  <r>
    <x v="0"/>
    <s v="名古屋市東区"/>
    <x v="3"/>
    <x v="10"/>
    <n v="365"/>
    <n v="10.71"/>
    <n v="262"/>
    <n v="22.98"/>
    <n v="103"/>
    <n v="4.55"/>
    <x v="0"/>
  </r>
  <r>
    <x v="0"/>
    <s v="名古屋市東区"/>
    <x v="3"/>
    <x v="11"/>
    <n v="304"/>
    <n v="8.92"/>
    <n v="170"/>
    <n v="14.91"/>
    <n v="134"/>
    <n v="5.92"/>
    <x v="0"/>
  </r>
  <r>
    <x v="0"/>
    <s v="名古屋市東区"/>
    <x v="3"/>
    <x v="12"/>
    <n v="133"/>
    <n v="3.9"/>
    <n v="72"/>
    <n v="6.32"/>
    <n v="60"/>
    <n v="2.65"/>
    <x v="0"/>
  </r>
  <r>
    <x v="0"/>
    <s v="名古屋市東区"/>
    <x v="3"/>
    <x v="13"/>
    <n v="145"/>
    <n v="4.25"/>
    <n v="85"/>
    <n v="7.46"/>
    <n v="60"/>
    <n v="2.65"/>
    <x v="0"/>
  </r>
  <r>
    <x v="0"/>
    <s v="名古屋市東区"/>
    <x v="3"/>
    <x v="14"/>
    <n v="126"/>
    <n v="3.7"/>
    <n v="13"/>
    <n v="1.1399999999999999"/>
    <n v="110"/>
    <n v="4.8600000000000003"/>
    <x v="15"/>
  </r>
  <r>
    <x v="0"/>
    <s v="名古屋市北区"/>
    <x v="4"/>
    <x v="0"/>
    <n v="0"/>
    <n v="0"/>
    <n v="0"/>
    <n v="0"/>
    <n v="0"/>
    <n v="0"/>
    <x v="0"/>
  </r>
  <r>
    <x v="0"/>
    <s v="名古屋市北区"/>
    <x v="4"/>
    <x v="1"/>
    <n v="605"/>
    <n v="14.45"/>
    <n v="86"/>
    <n v="4.71"/>
    <n v="519"/>
    <n v="22.06"/>
    <x v="0"/>
  </r>
  <r>
    <x v="0"/>
    <s v="名古屋市北区"/>
    <x v="4"/>
    <x v="2"/>
    <n v="493"/>
    <n v="11.78"/>
    <n v="140"/>
    <n v="7.67"/>
    <n v="353"/>
    <n v="15"/>
    <x v="0"/>
  </r>
  <r>
    <x v="0"/>
    <s v="名古屋市北区"/>
    <x v="4"/>
    <x v="3"/>
    <n v="2"/>
    <n v="0.05"/>
    <n v="0"/>
    <n v="0"/>
    <n v="2"/>
    <n v="0.08"/>
    <x v="0"/>
  </r>
  <r>
    <x v="0"/>
    <s v="名古屋市北区"/>
    <x v="4"/>
    <x v="4"/>
    <n v="33"/>
    <n v="0.79"/>
    <n v="2"/>
    <n v="0.11"/>
    <n v="30"/>
    <n v="1.27"/>
    <x v="6"/>
  </r>
  <r>
    <x v="0"/>
    <s v="名古屋市北区"/>
    <x v="4"/>
    <x v="5"/>
    <n v="39"/>
    <n v="0.93"/>
    <n v="7"/>
    <n v="0.38"/>
    <n v="32"/>
    <n v="1.36"/>
    <x v="0"/>
  </r>
  <r>
    <x v="0"/>
    <s v="名古屋市北区"/>
    <x v="4"/>
    <x v="6"/>
    <n v="814"/>
    <n v="19.45"/>
    <n v="291"/>
    <n v="15.94"/>
    <n v="523"/>
    <n v="22.23"/>
    <x v="0"/>
  </r>
  <r>
    <x v="0"/>
    <s v="名古屋市北区"/>
    <x v="4"/>
    <x v="7"/>
    <n v="37"/>
    <n v="0.88"/>
    <n v="3"/>
    <n v="0.16"/>
    <n v="34"/>
    <n v="1.44"/>
    <x v="0"/>
  </r>
  <r>
    <x v="0"/>
    <s v="名古屋市北区"/>
    <x v="4"/>
    <x v="8"/>
    <n v="449"/>
    <n v="10.73"/>
    <n v="112"/>
    <n v="6.13"/>
    <n v="336"/>
    <n v="14.28"/>
    <x v="6"/>
  </r>
  <r>
    <x v="0"/>
    <s v="名古屋市北区"/>
    <x v="4"/>
    <x v="9"/>
    <n v="277"/>
    <n v="6.62"/>
    <n v="161"/>
    <n v="8.82"/>
    <n v="115"/>
    <n v="4.8899999999999997"/>
    <x v="0"/>
  </r>
  <r>
    <x v="0"/>
    <s v="名古屋市北区"/>
    <x v="4"/>
    <x v="10"/>
    <n v="523"/>
    <n v="12.49"/>
    <n v="445"/>
    <n v="24.37"/>
    <n v="77"/>
    <n v="3.27"/>
    <x v="0"/>
  </r>
  <r>
    <x v="0"/>
    <s v="名古屋市北区"/>
    <x v="4"/>
    <x v="11"/>
    <n v="421"/>
    <n v="10.06"/>
    <n v="308"/>
    <n v="16.87"/>
    <n v="113"/>
    <n v="4.8"/>
    <x v="0"/>
  </r>
  <r>
    <x v="0"/>
    <s v="名古屋市北区"/>
    <x v="4"/>
    <x v="12"/>
    <n v="131"/>
    <n v="3.13"/>
    <n v="95"/>
    <n v="5.2"/>
    <n v="36"/>
    <n v="1.53"/>
    <x v="0"/>
  </r>
  <r>
    <x v="0"/>
    <s v="名古屋市北区"/>
    <x v="4"/>
    <x v="13"/>
    <n v="225"/>
    <n v="5.38"/>
    <n v="139"/>
    <n v="7.61"/>
    <n v="84"/>
    <n v="3.57"/>
    <x v="14"/>
  </r>
  <r>
    <x v="0"/>
    <s v="名古屋市北区"/>
    <x v="4"/>
    <x v="14"/>
    <n v="137"/>
    <n v="3.27"/>
    <n v="37"/>
    <n v="2.0299999999999998"/>
    <n v="99"/>
    <n v="4.21"/>
    <x v="0"/>
  </r>
  <r>
    <x v="0"/>
    <s v="名古屋市西区"/>
    <x v="5"/>
    <x v="0"/>
    <n v="0"/>
    <n v="0"/>
    <n v="0"/>
    <n v="0"/>
    <n v="0"/>
    <n v="0"/>
    <x v="0"/>
  </r>
  <r>
    <x v="0"/>
    <s v="名古屋市西区"/>
    <x v="5"/>
    <x v="1"/>
    <n v="548"/>
    <n v="11.59"/>
    <n v="71"/>
    <n v="3.91"/>
    <n v="477"/>
    <n v="16.43"/>
    <x v="0"/>
  </r>
  <r>
    <x v="0"/>
    <s v="名古屋市西区"/>
    <x v="5"/>
    <x v="2"/>
    <n v="743"/>
    <n v="15.71"/>
    <n v="195"/>
    <n v="10.73"/>
    <n v="548"/>
    <n v="18.87"/>
    <x v="0"/>
  </r>
  <r>
    <x v="0"/>
    <s v="名古屋市西区"/>
    <x v="5"/>
    <x v="3"/>
    <n v="3"/>
    <n v="0.06"/>
    <n v="0"/>
    <n v="0"/>
    <n v="3"/>
    <n v="0.1"/>
    <x v="0"/>
  </r>
  <r>
    <x v="0"/>
    <s v="名古屋市西区"/>
    <x v="5"/>
    <x v="4"/>
    <n v="75"/>
    <n v="1.59"/>
    <n v="3"/>
    <n v="0.17"/>
    <n v="72"/>
    <n v="2.48"/>
    <x v="0"/>
  </r>
  <r>
    <x v="0"/>
    <s v="名古屋市西区"/>
    <x v="5"/>
    <x v="5"/>
    <n v="37"/>
    <n v="0.78"/>
    <n v="6"/>
    <n v="0.33"/>
    <n v="31"/>
    <n v="1.07"/>
    <x v="0"/>
  </r>
  <r>
    <x v="0"/>
    <s v="名古屋市西区"/>
    <x v="5"/>
    <x v="6"/>
    <n v="1033"/>
    <n v="21.84"/>
    <n v="306"/>
    <n v="16.829999999999998"/>
    <n v="727"/>
    <n v="25.03"/>
    <x v="0"/>
  </r>
  <r>
    <x v="0"/>
    <s v="名古屋市西区"/>
    <x v="5"/>
    <x v="7"/>
    <n v="33"/>
    <n v="0.7"/>
    <n v="4"/>
    <n v="0.22"/>
    <n v="29"/>
    <n v="1"/>
    <x v="0"/>
  </r>
  <r>
    <x v="0"/>
    <s v="名古屋市西区"/>
    <x v="5"/>
    <x v="8"/>
    <n v="490"/>
    <n v="10.36"/>
    <n v="97"/>
    <n v="5.34"/>
    <n v="393"/>
    <n v="13.53"/>
    <x v="0"/>
  </r>
  <r>
    <x v="0"/>
    <s v="名古屋市西区"/>
    <x v="5"/>
    <x v="9"/>
    <n v="299"/>
    <n v="6.32"/>
    <n v="155"/>
    <n v="8.5299999999999994"/>
    <n v="143"/>
    <n v="4.92"/>
    <x v="6"/>
  </r>
  <r>
    <x v="0"/>
    <s v="名古屋市西区"/>
    <x v="5"/>
    <x v="10"/>
    <n v="547"/>
    <n v="11.57"/>
    <n v="440"/>
    <n v="24.2"/>
    <n v="105"/>
    <n v="3.62"/>
    <x v="0"/>
  </r>
  <r>
    <x v="0"/>
    <s v="名古屋市西区"/>
    <x v="5"/>
    <x v="11"/>
    <n v="408"/>
    <n v="8.6300000000000008"/>
    <n v="279"/>
    <n v="15.35"/>
    <n v="129"/>
    <n v="4.4400000000000004"/>
    <x v="0"/>
  </r>
  <r>
    <x v="0"/>
    <s v="名古屋市西区"/>
    <x v="5"/>
    <x v="12"/>
    <n v="136"/>
    <n v="2.88"/>
    <n v="84"/>
    <n v="4.62"/>
    <n v="51"/>
    <n v="1.76"/>
    <x v="6"/>
  </r>
  <r>
    <x v="0"/>
    <s v="名古屋市西区"/>
    <x v="5"/>
    <x v="13"/>
    <n v="183"/>
    <n v="3.87"/>
    <n v="117"/>
    <n v="6.44"/>
    <n v="66"/>
    <n v="2.27"/>
    <x v="0"/>
  </r>
  <r>
    <x v="0"/>
    <s v="名古屋市西区"/>
    <x v="5"/>
    <x v="14"/>
    <n v="194"/>
    <n v="4.0999999999999996"/>
    <n v="61"/>
    <n v="3.36"/>
    <n v="130"/>
    <n v="4.4800000000000004"/>
    <x v="14"/>
  </r>
  <r>
    <x v="0"/>
    <s v="名古屋市中村区"/>
    <x v="6"/>
    <x v="0"/>
    <n v="0"/>
    <n v="0"/>
    <n v="0"/>
    <n v="0"/>
    <n v="0"/>
    <n v="0"/>
    <x v="0"/>
  </r>
  <r>
    <x v="0"/>
    <s v="名古屋市中村区"/>
    <x v="6"/>
    <x v="1"/>
    <n v="457"/>
    <n v="8.7100000000000009"/>
    <n v="49"/>
    <n v="2.79"/>
    <n v="407"/>
    <n v="11.72"/>
    <x v="6"/>
  </r>
  <r>
    <x v="0"/>
    <s v="名古屋市中村区"/>
    <x v="6"/>
    <x v="2"/>
    <n v="355"/>
    <n v="6.77"/>
    <n v="108"/>
    <n v="6.16"/>
    <n v="247"/>
    <n v="7.11"/>
    <x v="0"/>
  </r>
  <r>
    <x v="0"/>
    <s v="名古屋市中村区"/>
    <x v="6"/>
    <x v="3"/>
    <n v="4"/>
    <n v="0.08"/>
    <n v="0"/>
    <n v="0"/>
    <n v="4"/>
    <n v="0.12"/>
    <x v="0"/>
  </r>
  <r>
    <x v="0"/>
    <s v="名古屋市中村区"/>
    <x v="6"/>
    <x v="4"/>
    <n v="145"/>
    <n v="2.77"/>
    <n v="2"/>
    <n v="0.11"/>
    <n v="143"/>
    <n v="4.12"/>
    <x v="0"/>
  </r>
  <r>
    <x v="0"/>
    <s v="名古屋市中村区"/>
    <x v="6"/>
    <x v="5"/>
    <n v="62"/>
    <n v="1.18"/>
    <n v="10"/>
    <n v="0.56999999999999995"/>
    <n v="52"/>
    <n v="1.5"/>
    <x v="0"/>
  </r>
  <r>
    <x v="0"/>
    <s v="名古屋市中村区"/>
    <x v="6"/>
    <x v="6"/>
    <n v="1379"/>
    <n v="26.3"/>
    <n v="337"/>
    <n v="19.21"/>
    <n v="1042"/>
    <n v="30"/>
    <x v="0"/>
  </r>
  <r>
    <x v="0"/>
    <s v="名古屋市中村区"/>
    <x v="6"/>
    <x v="7"/>
    <n v="47"/>
    <n v="0.9"/>
    <n v="5"/>
    <n v="0.28999999999999998"/>
    <n v="42"/>
    <n v="1.21"/>
    <x v="0"/>
  </r>
  <r>
    <x v="0"/>
    <s v="名古屋市中村区"/>
    <x v="6"/>
    <x v="8"/>
    <n v="574"/>
    <n v="10.95"/>
    <n v="77"/>
    <n v="4.3899999999999997"/>
    <n v="494"/>
    <n v="14.22"/>
    <x v="15"/>
  </r>
  <r>
    <x v="0"/>
    <s v="名古屋市中村区"/>
    <x v="6"/>
    <x v="9"/>
    <n v="458"/>
    <n v="8.73"/>
    <n v="198"/>
    <n v="11.29"/>
    <n v="259"/>
    <n v="7.46"/>
    <x v="6"/>
  </r>
  <r>
    <x v="0"/>
    <s v="名古屋市中村区"/>
    <x v="6"/>
    <x v="10"/>
    <n v="620"/>
    <n v="11.82"/>
    <n v="422"/>
    <n v="24.06"/>
    <n v="198"/>
    <n v="5.7"/>
    <x v="0"/>
  </r>
  <r>
    <x v="0"/>
    <s v="名古屋市中村区"/>
    <x v="6"/>
    <x v="11"/>
    <n v="527"/>
    <n v="10.050000000000001"/>
    <n v="294"/>
    <n v="16.760000000000002"/>
    <n v="232"/>
    <n v="6.68"/>
    <x v="6"/>
  </r>
  <r>
    <x v="0"/>
    <s v="名古屋市中村区"/>
    <x v="6"/>
    <x v="12"/>
    <n v="158"/>
    <n v="3.01"/>
    <n v="85"/>
    <n v="4.8499999999999996"/>
    <n v="67"/>
    <n v="1.93"/>
    <x v="2"/>
  </r>
  <r>
    <x v="0"/>
    <s v="名古屋市中村区"/>
    <x v="6"/>
    <x v="13"/>
    <n v="229"/>
    <n v="4.37"/>
    <n v="148"/>
    <n v="8.44"/>
    <n v="81"/>
    <n v="2.33"/>
    <x v="0"/>
  </r>
  <r>
    <x v="0"/>
    <s v="名古屋市中村区"/>
    <x v="6"/>
    <x v="14"/>
    <n v="229"/>
    <n v="4.37"/>
    <n v="19"/>
    <n v="1.08"/>
    <n v="205"/>
    <n v="5.9"/>
    <x v="3"/>
  </r>
  <r>
    <x v="0"/>
    <s v="名古屋市中区"/>
    <x v="7"/>
    <x v="0"/>
    <n v="0"/>
    <n v="0"/>
    <n v="0"/>
    <n v="0"/>
    <n v="0"/>
    <n v="0"/>
    <x v="0"/>
  </r>
  <r>
    <x v="0"/>
    <s v="名古屋市中区"/>
    <x v="7"/>
    <x v="1"/>
    <n v="378"/>
    <n v="4.22"/>
    <n v="9"/>
    <n v="0.31"/>
    <n v="369"/>
    <n v="6.16"/>
    <x v="0"/>
  </r>
  <r>
    <x v="0"/>
    <s v="名古屋市中区"/>
    <x v="7"/>
    <x v="2"/>
    <n v="345"/>
    <n v="3.85"/>
    <n v="72"/>
    <n v="2.4500000000000002"/>
    <n v="273"/>
    <n v="4.5599999999999996"/>
    <x v="0"/>
  </r>
  <r>
    <x v="0"/>
    <s v="名古屋市中区"/>
    <x v="7"/>
    <x v="3"/>
    <n v="12"/>
    <n v="0.13"/>
    <n v="0"/>
    <n v="0"/>
    <n v="12"/>
    <n v="0.2"/>
    <x v="0"/>
  </r>
  <r>
    <x v="0"/>
    <s v="名古屋市中区"/>
    <x v="7"/>
    <x v="4"/>
    <n v="362"/>
    <n v="4.04"/>
    <n v="14"/>
    <n v="0.48"/>
    <n v="347"/>
    <n v="5.79"/>
    <x v="6"/>
  </r>
  <r>
    <x v="0"/>
    <s v="名古屋市中区"/>
    <x v="7"/>
    <x v="5"/>
    <n v="65"/>
    <n v="0.73"/>
    <n v="1"/>
    <n v="0.03"/>
    <n v="63"/>
    <n v="1.05"/>
    <x v="6"/>
  </r>
  <r>
    <x v="0"/>
    <s v="名古屋市中区"/>
    <x v="7"/>
    <x v="6"/>
    <n v="2264"/>
    <n v="25.29"/>
    <n v="395"/>
    <n v="13.44"/>
    <n v="1866"/>
    <n v="31.15"/>
    <x v="15"/>
  </r>
  <r>
    <x v="0"/>
    <s v="名古屋市中区"/>
    <x v="7"/>
    <x v="7"/>
    <n v="124"/>
    <n v="1.39"/>
    <n v="0"/>
    <n v="0"/>
    <n v="123"/>
    <n v="2.0499999999999998"/>
    <x v="6"/>
  </r>
  <r>
    <x v="0"/>
    <s v="名古屋市中区"/>
    <x v="7"/>
    <x v="8"/>
    <n v="991"/>
    <n v="11.07"/>
    <n v="63"/>
    <n v="2.14"/>
    <n v="926"/>
    <n v="15.46"/>
    <x v="14"/>
  </r>
  <r>
    <x v="0"/>
    <s v="名古屋市中区"/>
    <x v="7"/>
    <x v="9"/>
    <n v="1282"/>
    <n v="14.32"/>
    <n v="638"/>
    <n v="21.72"/>
    <n v="640"/>
    <n v="10.68"/>
    <x v="3"/>
  </r>
  <r>
    <x v="0"/>
    <s v="名古屋市中区"/>
    <x v="7"/>
    <x v="10"/>
    <n v="1653"/>
    <n v="18.46"/>
    <n v="1158"/>
    <n v="39.409999999999997"/>
    <n v="495"/>
    <n v="8.26"/>
    <x v="0"/>
  </r>
  <r>
    <x v="0"/>
    <s v="名古屋市中区"/>
    <x v="7"/>
    <x v="11"/>
    <n v="656"/>
    <n v="7.33"/>
    <n v="304"/>
    <n v="10.35"/>
    <n v="351"/>
    <n v="5.86"/>
    <x v="6"/>
  </r>
  <r>
    <x v="0"/>
    <s v="名古屋市中区"/>
    <x v="7"/>
    <x v="12"/>
    <n v="224"/>
    <n v="2.5"/>
    <n v="92"/>
    <n v="3.13"/>
    <n v="127"/>
    <n v="2.12"/>
    <x v="3"/>
  </r>
  <r>
    <x v="0"/>
    <s v="名古屋市中区"/>
    <x v="7"/>
    <x v="13"/>
    <n v="259"/>
    <n v="2.89"/>
    <n v="157"/>
    <n v="5.34"/>
    <n v="102"/>
    <n v="1.7"/>
    <x v="0"/>
  </r>
  <r>
    <x v="0"/>
    <s v="名古屋市中区"/>
    <x v="7"/>
    <x v="14"/>
    <n v="338"/>
    <n v="3.78"/>
    <n v="35"/>
    <n v="1.19"/>
    <n v="296"/>
    <n v="4.9400000000000004"/>
    <x v="2"/>
  </r>
  <r>
    <x v="0"/>
    <s v="名古屋市昭和区"/>
    <x v="8"/>
    <x v="0"/>
    <n v="0"/>
    <n v="0"/>
    <n v="0"/>
    <n v="0"/>
    <n v="0"/>
    <n v="0"/>
    <x v="0"/>
  </r>
  <r>
    <x v="0"/>
    <s v="名古屋市昭和区"/>
    <x v="8"/>
    <x v="1"/>
    <n v="233"/>
    <n v="7.57"/>
    <n v="25"/>
    <n v="1.91"/>
    <n v="208"/>
    <n v="11.76"/>
    <x v="0"/>
  </r>
  <r>
    <x v="0"/>
    <s v="名古屋市昭和区"/>
    <x v="8"/>
    <x v="2"/>
    <n v="243"/>
    <n v="7.89"/>
    <n v="59"/>
    <n v="4.51"/>
    <n v="184"/>
    <n v="10.41"/>
    <x v="0"/>
  </r>
  <r>
    <x v="0"/>
    <s v="名古屋市昭和区"/>
    <x v="8"/>
    <x v="3"/>
    <n v="6"/>
    <n v="0.19"/>
    <n v="0"/>
    <n v="0"/>
    <n v="6"/>
    <n v="0.34"/>
    <x v="0"/>
  </r>
  <r>
    <x v="0"/>
    <s v="名古屋市昭和区"/>
    <x v="8"/>
    <x v="4"/>
    <n v="39"/>
    <n v="1.27"/>
    <n v="5"/>
    <n v="0.38"/>
    <n v="34"/>
    <n v="1.92"/>
    <x v="0"/>
  </r>
  <r>
    <x v="0"/>
    <s v="名古屋市昭和区"/>
    <x v="8"/>
    <x v="5"/>
    <n v="7"/>
    <n v="0.23"/>
    <n v="1"/>
    <n v="0.08"/>
    <n v="6"/>
    <n v="0.34"/>
    <x v="0"/>
  </r>
  <r>
    <x v="0"/>
    <s v="名古屋市昭和区"/>
    <x v="8"/>
    <x v="6"/>
    <n v="638"/>
    <n v="20.73"/>
    <n v="238"/>
    <n v="18.21"/>
    <n v="400"/>
    <n v="22.62"/>
    <x v="0"/>
  </r>
  <r>
    <x v="0"/>
    <s v="名古屋市昭和区"/>
    <x v="8"/>
    <x v="7"/>
    <n v="20"/>
    <n v="0.65"/>
    <n v="1"/>
    <n v="0.08"/>
    <n v="19"/>
    <n v="1.07"/>
    <x v="0"/>
  </r>
  <r>
    <x v="0"/>
    <s v="名古屋市昭和区"/>
    <x v="8"/>
    <x v="8"/>
    <n v="584"/>
    <n v="18.97"/>
    <n v="168"/>
    <n v="12.85"/>
    <n v="415"/>
    <n v="23.47"/>
    <x v="6"/>
  </r>
  <r>
    <x v="0"/>
    <s v="名古屋市昭和区"/>
    <x v="8"/>
    <x v="9"/>
    <n v="257"/>
    <n v="8.35"/>
    <n v="127"/>
    <n v="9.7200000000000006"/>
    <n v="129"/>
    <n v="7.3"/>
    <x v="6"/>
  </r>
  <r>
    <x v="0"/>
    <s v="名古屋市昭和区"/>
    <x v="8"/>
    <x v="10"/>
    <n v="374"/>
    <n v="12.15"/>
    <n v="269"/>
    <n v="20.58"/>
    <n v="104"/>
    <n v="5.88"/>
    <x v="0"/>
  </r>
  <r>
    <x v="0"/>
    <s v="名古屋市昭和区"/>
    <x v="8"/>
    <x v="11"/>
    <n v="334"/>
    <n v="10.85"/>
    <n v="228"/>
    <n v="17.440000000000001"/>
    <n v="106"/>
    <n v="6"/>
    <x v="0"/>
  </r>
  <r>
    <x v="0"/>
    <s v="名古屋市昭和区"/>
    <x v="8"/>
    <x v="12"/>
    <n v="124"/>
    <n v="4.03"/>
    <n v="76"/>
    <n v="5.81"/>
    <n v="48"/>
    <n v="2.71"/>
    <x v="0"/>
  </r>
  <r>
    <x v="0"/>
    <s v="名古屋市昭和区"/>
    <x v="8"/>
    <x v="13"/>
    <n v="152"/>
    <n v="4.9400000000000004"/>
    <n v="96"/>
    <n v="7.35"/>
    <n v="56"/>
    <n v="3.17"/>
    <x v="0"/>
  </r>
  <r>
    <x v="0"/>
    <s v="名古屋市昭和区"/>
    <x v="8"/>
    <x v="14"/>
    <n v="67"/>
    <n v="2.1800000000000002"/>
    <n v="14"/>
    <n v="1.07"/>
    <n v="53"/>
    <n v="3"/>
    <x v="0"/>
  </r>
  <r>
    <x v="0"/>
    <s v="名古屋市瑞穂区"/>
    <x v="9"/>
    <x v="0"/>
    <n v="0"/>
    <n v="0"/>
    <n v="0"/>
    <n v="0"/>
    <n v="0"/>
    <n v="0"/>
    <x v="0"/>
  </r>
  <r>
    <x v="0"/>
    <s v="名古屋市瑞穂区"/>
    <x v="9"/>
    <x v="1"/>
    <n v="237"/>
    <n v="9.2200000000000006"/>
    <n v="34"/>
    <n v="3.01"/>
    <n v="203"/>
    <n v="14.1"/>
    <x v="0"/>
  </r>
  <r>
    <x v="0"/>
    <s v="名古屋市瑞穂区"/>
    <x v="9"/>
    <x v="2"/>
    <n v="186"/>
    <n v="7.24"/>
    <n v="51"/>
    <n v="4.51"/>
    <n v="135"/>
    <n v="9.3800000000000008"/>
    <x v="0"/>
  </r>
  <r>
    <x v="0"/>
    <s v="名古屋市瑞穂区"/>
    <x v="9"/>
    <x v="3"/>
    <n v="2"/>
    <n v="0.08"/>
    <n v="0"/>
    <n v="0"/>
    <n v="2"/>
    <n v="0.14000000000000001"/>
    <x v="0"/>
  </r>
  <r>
    <x v="0"/>
    <s v="名古屋市瑞穂区"/>
    <x v="9"/>
    <x v="4"/>
    <n v="25"/>
    <n v="0.97"/>
    <n v="1"/>
    <n v="0.09"/>
    <n v="24"/>
    <n v="1.67"/>
    <x v="0"/>
  </r>
  <r>
    <x v="0"/>
    <s v="名古屋市瑞穂区"/>
    <x v="9"/>
    <x v="5"/>
    <n v="16"/>
    <n v="0.62"/>
    <n v="2"/>
    <n v="0.18"/>
    <n v="14"/>
    <n v="0.97"/>
    <x v="0"/>
  </r>
  <r>
    <x v="0"/>
    <s v="名古屋市瑞穂区"/>
    <x v="9"/>
    <x v="6"/>
    <n v="499"/>
    <n v="19.420000000000002"/>
    <n v="172"/>
    <n v="15.22"/>
    <n v="327"/>
    <n v="22.71"/>
    <x v="0"/>
  </r>
  <r>
    <x v="0"/>
    <s v="名古屋市瑞穂区"/>
    <x v="9"/>
    <x v="7"/>
    <n v="14"/>
    <n v="0.54"/>
    <n v="0"/>
    <n v="0"/>
    <n v="14"/>
    <n v="0.97"/>
    <x v="0"/>
  </r>
  <r>
    <x v="0"/>
    <s v="名古屋市瑞穂区"/>
    <x v="9"/>
    <x v="8"/>
    <n v="472"/>
    <n v="18.37"/>
    <n v="145"/>
    <n v="12.83"/>
    <n v="327"/>
    <n v="22.71"/>
    <x v="0"/>
  </r>
  <r>
    <x v="0"/>
    <s v="名古屋市瑞穂区"/>
    <x v="9"/>
    <x v="9"/>
    <n v="186"/>
    <n v="7.24"/>
    <n v="105"/>
    <n v="9.2899999999999991"/>
    <n v="81"/>
    <n v="5.63"/>
    <x v="0"/>
  </r>
  <r>
    <x v="0"/>
    <s v="名古屋市瑞穂区"/>
    <x v="9"/>
    <x v="10"/>
    <n v="287"/>
    <n v="11.17"/>
    <n v="231"/>
    <n v="20.440000000000001"/>
    <n v="56"/>
    <n v="3.89"/>
    <x v="0"/>
  </r>
  <r>
    <x v="0"/>
    <s v="名古屋市瑞穂区"/>
    <x v="9"/>
    <x v="11"/>
    <n v="281"/>
    <n v="10.93"/>
    <n v="187"/>
    <n v="16.55"/>
    <n v="94"/>
    <n v="6.53"/>
    <x v="0"/>
  </r>
  <r>
    <x v="0"/>
    <s v="名古屋市瑞穂区"/>
    <x v="9"/>
    <x v="12"/>
    <n v="145"/>
    <n v="5.64"/>
    <n v="96"/>
    <n v="8.5"/>
    <n v="49"/>
    <n v="3.4"/>
    <x v="0"/>
  </r>
  <r>
    <x v="0"/>
    <s v="名古屋市瑞穂区"/>
    <x v="9"/>
    <x v="13"/>
    <n v="151"/>
    <n v="5.88"/>
    <n v="87"/>
    <n v="7.7"/>
    <n v="64"/>
    <n v="4.4400000000000004"/>
    <x v="0"/>
  </r>
  <r>
    <x v="0"/>
    <s v="名古屋市瑞穂区"/>
    <x v="9"/>
    <x v="14"/>
    <n v="69"/>
    <n v="2.68"/>
    <n v="19"/>
    <n v="1.68"/>
    <n v="50"/>
    <n v="3.47"/>
    <x v="0"/>
  </r>
  <r>
    <x v="0"/>
    <s v="名古屋市熱田区"/>
    <x v="10"/>
    <x v="0"/>
    <n v="0"/>
    <n v="0"/>
    <n v="0"/>
    <n v="0"/>
    <n v="0"/>
    <n v="0"/>
    <x v="0"/>
  </r>
  <r>
    <x v="0"/>
    <s v="名古屋市熱田区"/>
    <x v="10"/>
    <x v="1"/>
    <n v="180"/>
    <n v="8.7899999999999991"/>
    <n v="18"/>
    <n v="2.3199999999999998"/>
    <n v="162"/>
    <n v="12.78"/>
    <x v="0"/>
  </r>
  <r>
    <x v="0"/>
    <s v="名古屋市熱田区"/>
    <x v="10"/>
    <x v="2"/>
    <n v="239"/>
    <n v="11.68"/>
    <n v="55"/>
    <n v="7.1"/>
    <n v="184"/>
    <n v="14.51"/>
    <x v="0"/>
  </r>
  <r>
    <x v="0"/>
    <s v="名古屋市熱田区"/>
    <x v="10"/>
    <x v="3"/>
    <n v="0"/>
    <n v="0"/>
    <n v="0"/>
    <n v="0"/>
    <n v="0"/>
    <n v="0"/>
    <x v="0"/>
  </r>
  <r>
    <x v="0"/>
    <s v="名古屋市熱田区"/>
    <x v="10"/>
    <x v="4"/>
    <n v="23"/>
    <n v="1.1200000000000001"/>
    <n v="2"/>
    <n v="0.26"/>
    <n v="21"/>
    <n v="1.66"/>
    <x v="0"/>
  </r>
  <r>
    <x v="0"/>
    <s v="名古屋市熱田区"/>
    <x v="10"/>
    <x v="5"/>
    <n v="22"/>
    <n v="1.07"/>
    <n v="2"/>
    <n v="0.26"/>
    <n v="20"/>
    <n v="1.58"/>
    <x v="0"/>
  </r>
  <r>
    <x v="0"/>
    <s v="名古屋市熱田区"/>
    <x v="10"/>
    <x v="6"/>
    <n v="513"/>
    <n v="25.06"/>
    <n v="131"/>
    <n v="16.899999999999999"/>
    <n v="382"/>
    <n v="30.13"/>
    <x v="0"/>
  </r>
  <r>
    <x v="0"/>
    <s v="名古屋市熱田区"/>
    <x v="10"/>
    <x v="7"/>
    <n v="20"/>
    <n v="0.98"/>
    <n v="1"/>
    <n v="0.13"/>
    <n v="19"/>
    <n v="1.5"/>
    <x v="0"/>
  </r>
  <r>
    <x v="0"/>
    <s v="名古屋市熱田区"/>
    <x v="10"/>
    <x v="8"/>
    <n v="241"/>
    <n v="11.77"/>
    <n v="86"/>
    <n v="11.1"/>
    <n v="155"/>
    <n v="12.22"/>
    <x v="0"/>
  </r>
  <r>
    <x v="0"/>
    <s v="名古屋市熱田区"/>
    <x v="10"/>
    <x v="9"/>
    <n v="135"/>
    <n v="6.6"/>
    <n v="61"/>
    <n v="7.87"/>
    <n v="74"/>
    <n v="5.84"/>
    <x v="0"/>
  </r>
  <r>
    <x v="0"/>
    <s v="名古屋市熱田区"/>
    <x v="10"/>
    <x v="10"/>
    <n v="276"/>
    <n v="13.48"/>
    <n v="210"/>
    <n v="27.1"/>
    <n v="64"/>
    <n v="5.05"/>
    <x v="0"/>
  </r>
  <r>
    <x v="0"/>
    <s v="名古屋市熱田区"/>
    <x v="10"/>
    <x v="11"/>
    <n v="184"/>
    <n v="8.99"/>
    <n v="117"/>
    <n v="15.1"/>
    <n v="67"/>
    <n v="5.28"/>
    <x v="0"/>
  </r>
  <r>
    <x v="0"/>
    <s v="名古屋市熱田区"/>
    <x v="10"/>
    <x v="12"/>
    <n v="49"/>
    <n v="2.39"/>
    <n v="28"/>
    <n v="3.61"/>
    <n v="21"/>
    <n v="1.66"/>
    <x v="0"/>
  </r>
  <r>
    <x v="0"/>
    <s v="名古屋市熱田区"/>
    <x v="10"/>
    <x v="13"/>
    <n v="98"/>
    <n v="4.79"/>
    <n v="50"/>
    <n v="6.45"/>
    <n v="48"/>
    <n v="3.79"/>
    <x v="0"/>
  </r>
  <r>
    <x v="0"/>
    <s v="名古屋市熱田区"/>
    <x v="10"/>
    <x v="14"/>
    <n v="67"/>
    <n v="3.27"/>
    <n v="14"/>
    <n v="1.81"/>
    <n v="51"/>
    <n v="4.0199999999999996"/>
    <x v="6"/>
  </r>
  <r>
    <x v="0"/>
    <s v="名古屋市中川区"/>
    <x v="11"/>
    <x v="0"/>
    <n v="0"/>
    <n v="0"/>
    <n v="0"/>
    <n v="0"/>
    <n v="0"/>
    <n v="0"/>
    <x v="0"/>
  </r>
  <r>
    <x v="0"/>
    <s v="名古屋市中川区"/>
    <x v="11"/>
    <x v="1"/>
    <n v="614"/>
    <n v="13.18"/>
    <n v="76"/>
    <n v="4.0599999999999996"/>
    <n v="538"/>
    <n v="19.3"/>
    <x v="0"/>
  </r>
  <r>
    <x v="0"/>
    <s v="名古屋市中川区"/>
    <x v="11"/>
    <x v="2"/>
    <n v="968"/>
    <n v="20.78"/>
    <n v="272"/>
    <n v="14.55"/>
    <n v="696"/>
    <n v="24.97"/>
    <x v="0"/>
  </r>
  <r>
    <x v="0"/>
    <s v="名古屋市中川区"/>
    <x v="11"/>
    <x v="3"/>
    <n v="1"/>
    <n v="0.02"/>
    <n v="0"/>
    <n v="0"/>
    <n v="1"/>
    <n v="0.04"/>
    <x v="0"/>
  </r>
  <r>
    <x v="0"/>
    <s v="名古屋市中川区"/>
    <x v="11"/>
    <x v="4"/>
    <n v="35"/>
    <n v="0.75"/>
    <n v="2"/>
    <n v="0.11"/>
    <n v="33"/>
    <n v="1.18"/>
    <x v="0"/>
  </r>
  <r>
    <x v="0"/>
    <s v="名古屋市中川区"/>
    <x v="11"/>
    <x v="5"/>
    <n v="63"/>
    <n v="1.35"/>
    <n v="8"/>
    <n v="0.43"/>
    <n v="55"/>
    <n v="1.97"/>
    <x v="0"/>
  </r>
  <r>
    <x v="0"/>
    <s v="名古屋市中川区"/>
    <x v="11"/>
    <x v="6"/>
    <n v="979"/>
    <n v="21.01"/>
    <n v="341"/>
    <n v="18.239999999999998"/>
    <n v="638"/>
    <n v="22.89"/>
    <x v="0"/>
  </r>
  <r>
    <x v="0"/>
    <s v="名古屋市中川区"/>
    <x v="11"/>
    <x v="7"/>
    <n v="24"/>
    <n v="0.52"/>
    <n v="1"/>
    <n v="0.05"/>
    <n v="23"/>
    <n v="0.83"/>
    <x v="0"/>
  </r>
  <r>
    <x v="0"/>
    <s v="名古屋市中川区"/>
    <x v="11"/>
    <x v="8"/>
    <n v="298"/>
    <n v="6.4"/>
    <n v="18"/>
    <n v="0.96"/>
    <n v="280"/>
    <n v="10.050000000000001"/>
    <x v="0"/>
  </r>
  <r>
    <x v="0"/>
    <s v="名古屋市中川区"/>
    <x v="11"/>
    <x v="9"/>
    <n v="190"/>
    <n v="4.08"/>
    <n v="100"/>
    <n v="5.35"/>
    <n v="90"/>
    <n v="3.23"/>
    <x v="0"/>
  </r>
  <r>
    <x v="0"/>
    <s v="名古屋市中川区"/>
    <x v="11"/>
    <x v="10"/>
    <n v="481"/>
    <n v="10.32"/>
    <n v="411"/>
    <n v="21.98"/>
    <n v="70"/>
    <n v="2.5099999999999998"/>
    <x v="0"/>
  </r>
  <r>
    <x v="0"/>
    <s v="名古屋市中川区"/>
    <x v="11"/>
    <x v="11"/>
    <n v="478"/>
    <n v="10.26"/>
    <n v="349"/>
    <n v="18.66"/>
    <n v="129"/>
    <n v="4.63"/>
    <x v="0"/>
  </r>
  <r>
    <x v="0"/>
    <s v="名古屋市中川区"/>
    <x v="11"/>
    <x v="12"/>
    <n v="134"/>
    <n v="2.88"/>
    <n v="88"/>
    <n v="4.71"/>
    <n v="46"/>
    <n v="1.65"/>
    <x v="0"/>
  </r>
  <r>
    <x v="0"/>
    <s v="名古屋市中川区"/>
    <x v="11"/>
    <x v="13"/>
    <n v="211"/>
    <n v="4.53"/>
    <n v="137"/>
    <n v="7.33"/>
    <n v="72"/>
    <n v="2.58"/>
    <x v="14"/>
  </r>
  <r>
    <x v="0"/>
    <s v="名古屋市中川区"/>
    <x v="11"/>
    <x v="14"/>
    <n v="183"/>
    <n v="3.93"/>
    <n v="67"/>
    <n v="3.58"/>
    <n v="116"/>
    <n v="4.16"/>
    <x v="0"/>
  </r>
  <r>
    <x v="0"/>
    <s v="名古屋市港区"/>
    <x v="12"/>
    <x v="0"/>
    <n v="2"/>
    <n v="0.06"/>
    <n v="0"/>
    <n v="0"/>
    <n v="2"/>
    <n v="0.1"/>
    <x v="0"/>
  </r>
  <r>
    <x v="0"/>
    <s v="名古屋市港区"/>
    <x v="12"/>
    <x v="1"/>
    <n v="422"/>
    <n v="13.53"/>
    <n v="52"/>
    <n v="4.9800000000000004"/>
    <n v="370"/>
    <n v="17.88"/>
    <x v="0"/>
  </r>
  <r>
    <x v="0"/>
    <s v="名古屋市港区"/>
    <x v="12"/>
    <x v="2"/>
    <n v="623"/>
    <n v="19.97"/>
    <n v="116"/>
    <n v="11.11"/>
    <n v="507"/>
    <n v="24.5"/>
    <x v="0"/>
  </r>
  <r>
    <x v="0"/>
    <s v="名古屋市港区"/>
    <x v="12"/>
    <x v="3"/>
    <n v="7"/>
    <n v="0.22"/>
    <n v="0"/>
    <n v="0"/>
    <n v="7"/>
    <n v="0.34"/>
    <x v="0"/>
  </r>
  <r>
    <x v="0"/>
    <s v="名古屋市港区"/>
    <x v="12"/>
    <x v="4"/>
    <n v="17"/>
    <n v="0.54"/>
    <n v="0"/>
    <n v="0"/>
    <n v="17"/>
    <n v="0.82"/>
    <x v="0"/>
  </r>
  <r>
    <x v="0"/>
    <s v="名古屋市港区"/>
    <x v="12"/>
    <x v="5"/>
    <n v="126"/>
    <n v="4.04"/>
    <n v="3"/>
    <n v="0.28999999999999998"/>
    <n v="123"/>
    <n v="5.94"/>
    <x v="0"/>
  </r>
  <r>
    <x v="0"/>
    <s v="名古屋市港区"/>
    <x v="12"/>
    <x v="6"/>
    <n v="627"/>
    <n v="20.100000000000001"/>
    <n v="168"/>
    <n v="16.09"/>
    <n v="459"/>
    <n v="22.18"/>
    <x v="0"/>
  </r>
  <r>
    <x v="0"/>
    <s v="名古屋市港区"/>
    <x v="12"/>
    <x v="7"/>
    <n v="17"/>
    <n v="0.54"/>
    <n v="3"/>
    <n v="0.28999999999999998"/>
    <n v="14"/>
    <n v="0.68"/>
    <x v="0"/>
  </r>
  <r>
    <x v="0"/>
    <s v="名古屋市港区"/>
    <x v="12"/>
    <x v="8"/>
    <n v="186"/>
    <n v="5.96"/>
    <n v="17"/>
    <n v="1.63"/>
    <n v="167"/>
    <n v="8.07"/>
    <x v="6"/>
  </r>
  <r>
    <x v="0"/>
    <s v="名古屋市港区"/>
    <x v="12"/>
    <x v="9"/>
    <n v="94"/>
    <n v="3.01"/>
    <n v="34"/>
    <n v="3.26"/>
    <n v="59"/>
    <n v="2.85"/>
    <x v="0"/>
  </r>
  <r>
    <x v="0"/>
    <s v="名古屋市港区"/>
    <x v="12"/>
    <x v="10"/>
    <n v="361"/>
    <n v="11.57"/>
    <n v="287"/>
    <n v="27.49"/>
    <n v="73"/>
    <n v="3.53"/>
    <x v="0"/>
  </r>
  <r>
    <x v="0"/>
    <s v="名古屋市港区"/>
    <x v="12"/>
    <x v="11"/>
    <n v="303"/>
    <n v="9.7100000000000009"/>
    <n v="197"/>
    <n v="18.87"/>
    <n v="105"/>
    <n v="5.07"/>
    <x v="0"/>
  </r>
  <r>
    <x v="0"/>
    <s v="名古屋市港区"/>
    <x v="12"/>
    <x v="12"/>
    <n v="78"/>
    <n v="2.5"/>
    <n v="51"/>
    <n v="4.8899999999999997"/>
    <n v="26"/>
    <n v="1.26"/>
    <x v="0"/>
  </r>
  <r>
    <x v="0"/>
    <s v="名古屋市港区"/>
    <x v="12"/>
    <x v="13"/>
    <n v="121"/>
    <n v="3.88"/>
    <n v="80"/>
    <n v="7.66"/>
    <n v="41"/>
    <n v="1.98"/>
    <x v="0"/>
  </r>
  <r>
    <x v="0"/>
    <s v="名古屋市港区"/>
    <x v="12"/>
    <x v="14"/>
    <n v="136"/>
    <n v="4.3600000000000003"/>
    <n v="36"/>
    <n v="3.45"/>
    <n v="99"/>
    <n v="4.78"/>
    <x v="0"/>
  </r>
  <r>
    <x v="0"/>
    <s v="名古屋市南区"/>
    <x v="13"/>
    <x v="0"/>
    <n v="0"/>
    <n v="0"/>
    <n v="0"/>
    <n v="0"/>
    <n v="0"/>
    <n v="0"/>
    <x v="0"/>
  </r>
  <r>
    <x v="0"/>
    <s v="名古屋市南区"/>
    <x v="13"/>
    <x v="1"/>
    <n v="406"/>
    <n v="12.91"/>
    <n v="43"/>
    <n v="3.48"/>
    <n v="363"/>
    <n v="19.059999999999999"/>
    <x v="0"/>
  </r>
  <r>
    <x v="0"/>
    <s v="名古屋市南区"/>
    <x v="13"/>
    <x v="2"/>
    <n v="609"/>
    <n v="19.37"/>
    <n v="107"/>
    <n v="8.66"/>
    <n v="502"/>
    <n v="26.35"/>
    <x v="0"/>
  </r>
  <r>
    <x v="0"/>
    <s v="名古屋市南区"/>
    <x v="13"/>
    <x v="3"/>
    <n v="0"/>
    <n v="0"/>
    <n v="0"/>
    <n v="0"/>
    <n v="0"/>
    <n v="0"/>
    <x v="0"/>
  </r>
  <r>
    <x v="0"/>
    <s v="名古屋市南区"/>
    <x v="13"/>
    <x v="4"/>
    <n v="24"/>
    <n v="0.76"/>
    <n v="1"/>
    <n v="0.08"/>
    <n v="23"/>
    <n v="1.21"/>
    <x v="0"/>
  </r>
  <r>
    <x v="0"/>
    <s v="名古屋市南区"/>
    <x v="13"/>
    <x v="5"/>
    <n v="43"/>
    <n v="1.37"/>
    <n v="9"/>
    <n v="0.73"/>
    <n v="34"/>
    <n v="1.78"/>
    <x v="0"/>
  </r>
  <r>
    <x v="0"/>
    <s v="名古屋市南区"/>
    <x v="13"/>
    <x v="6"/>
    <n v="637"/>
    <n v="20.260000000000002"/>
    <n v="247"/>
    <n v="20"/>
    <n v="390"/>
    <n v="20.47"/>
    <x v="0"/>
  </r>
  <r>
    <x v="0"/>
    <s v="名古屋市南区"/>
    <x v="13"/>
    <x v="7"/>
    <n v="15"/>
    <n v="0.48"/>
    <n v="1"/>
    <n v="0.08"/>
    <n v="14"/>
    <n v="0.73"/>
    <x v="0"/>
  </r>
  <r>
    <x v="0"/>
    <s v="名古屋市南区"/>
    <x v="13"/>
    <x v="8"/>
    <n v="239"/>
    <n v="7.6"/>
    <n v="24"/>
    <n v="1.94"/>
    <n v="215"/>
    <n v="11.29"/>
    <x v="0"/>
  </r>
  <r>
    <x v="0"/>
    <s v="名古屋市南区"/>
    <x v="13"/>
    <x v="9"/>
    <n v="117"/>
    <n v="3.72"/>
    <n v="55"/>
    <n v="4.45"/>
    <n v="61"/>
    <n v="3.2"/>
    <x v="6"/>
  </r>
  <r>
    <x v="0"/>
    <s v="名古屋市南区"/>
    <x v="13"/>
    <x v="10"/>
    <n v="340"/>
    <n v="10.81"/>
    <n v="285"/>
    <n v="23.08"/>
    <n v="55"/>
    <n v="2.89"/>
    <x v="0"/>
  </r>
  <r>
    <x v="0"/>
    <s v="名古屋市南区"/>
    <x v="13"/>
    <x v="11"/>
    <n v="384"/>
    <n v="12.21"/>
    <n v="281"/>
    <n v="22.75"/>
    <n v="103"/>
    <n v="5.41"/>
    <x v="0"/>
  </r>
  <r>
    <x v="0"/>
    <s v="名古屋市南区"/>
    <x v="13"/>
    <x v="12"/>
    <n v="77"/>
    <n v="2.4500000000000002"/>
    <n v="57"/>
    <n v="4.62"/>
    <n v="19"/>
    <n v="1"/>
    <x v="0"/>
  </r>
  <r>
    <x v="0"/>
    <s v="名古屋市南区"/>
    <x v="13"/>
    <x v="13"/>
    <n v="151"/>
    <n v="4.8"/>
    <n v="95"/>
    <n v="7.69"/>
    <n v="55"/>
    <n v="2.89"/>
    <x v="6"/>
  </r>
  <r>
    <x v="0"/>
    <s v="名古屋市南区"/>
    <x v="13"/>
    <x v="14"/>
    <n v="102"/>
    <n v="3.24"/>
    <n v="30"/>
    <n v="2.4300000000000002"/>
    <n v="71"/>
    <n v="3.73"/>
    <x v="6"/>
  </r>
  <r>
    <x v="0"/>
    <s v="名古屋市守山区"/>
    <x v="14"/>
    <x v="0"/>
    <n v="1"/>
    <n v="0.03"/>
    <n v="0"/>
    <n v="0"/>
    <n v="1"/>
    <n v="0.05"/>
    <x v="0"/>
  </r>
  <r>
    <x v="0"/>
    <s v="名古屋市守山区"/>
    <x v="14"/>
    <x v="1"/>
    <n v="557"/>
    <n v="17.760000000000002"/>
    <n v="70"/>
    <n v="6.42"/>
    <n v="487"/>
    <n v="23.85"/>
    <x v="0"/>
  </r>
  <r>
    <x v="0"/>
    <s v="名古屋市守山区"/>
    <x v="14"/>
    <x v="2"/>
    <n v="449"/>
    <n v="14.32"/>
    <n v="85"/>
    <n v="7.79"/>
    <n v="364"/>
    <n v="17.829999999999998"/>
    <x v="0"/>
  </r>
  <r>
    <x v="0"/>
    <s v="名古屋市守山区"/>
    <x v="14"/>
    <x v="3"/>
    <n v="2"/>
    <n v="0.06"/>
    <n v="0"/>
    <n v="0"/>
    <n v="2"/>
    <n v="0.1"/>
    <x v="0"/>
  </r>
  <r>
    <x v="0"/>
    <s v="名古屋市守山区"/>
    <x v="14"/>
    <x v="4"/>
    <n v="24"/>
    <n v="0.77"/>
    <n v="0"/>
    <n v="0"/>
    <n v="24"/>
    <n v="1.18"/>
    <x v="0"/>
  </r>
  <r>
    <x v="0"/>
    <s v="名古屋市守山区"/>
    <x v="14"/>
    <x v="5"/>
    <n v="37"/>
    <n v="1.18"/>
    <n v="11"/>
    <n v="1.01"/>
    <n v="26"/>
    <n v="1.27"/>
    <x v="0"/>
  </r>
  <r>
    <x v="0"/>
    <s v="名古屋市守山区"/>
    <x v="14"/>
    <x v="6"/>
    <n v="548"/>
    <n v="17.47"/>
    <n v="145"/>
    <n v="13.29"/>
    <n v="402"/>
    <n v="19.690000000000001"/>
    <x v="6"/>
  </r>
  <r>
    <x v="0"/>
    <s v="名古屋市守山区"/>
    <x v="14"/>
    <x v="7"/>
    <n v="29"/>
    <n v="0.92"/>
    <n v="6"/>
    <n v="0.55000000000000004"/>
    <n v="23"/>
    <n v="1.1299999999999999"/>
    <x v="0"/>
  </r>
  <r>
    <x v="0"/>
    <s v="名古屋市守山区"/>
    <x v="14"/>
    <x v="8"/>
    <n v="288"/>
    <n v="9.18"/>
    <n v="42"/>
    <n v="3.85"/>
    <n v="245"/>
    <n v="12"/>
    <x v="0"/>
  </r>
  <r>
    <x v="0"/>
    <s v="名古屋市守山区"/>
    <x v="14"/>
    <x v="9"/>
    <n v="181"/>
    <n v="5.77"/>
    <n v="83"/>
    <n v="7.61"/>
    <n v="98"/>
    <n v="4.8"/>
    <x v="0"/>
  </r>
  <r>
    <x v="0"/>
    <s v="名古屋市守山区"/>
    <x v="14"/>
    <x v="10"/>
    <n v="274"/>
    <n v="8.74"/>
    <n v="224"/>
    <n v="20.53"/>
    <n v="49"/>
    <n v="2.4"/>
    <x v="0"/>
  </r>
  <r>
    <x v="0"/>
    <s v="名古屋市守山区"/>
    <x v="14"/>
    <x v="11"/>
    <n v="319"/>
    <n v="10.17"/>
    <n v="209"/>
    <n v="19.16"/>
    <n v="110"/>
    <n v="5.39"/>
    <x v="0"/>
  </r>
  <r>
    <x v="0"/>
    <s v="名古屋市守山区"/>
    <x v="14"/>
    <x v="12"/>
    <n v="144"/>
    <n v="4.59"/>
    <n v="96"/>
    <n v="8.8000000000000007"/>
    <n v="48"/>
    <n v="2.35"/>
    <x v="0"/>
  </r>
  <r>
    <x v="0"/>
    <s v="名古屋市守山区"/>
    <x v="14"/>
    <x v="13"/>
    <n v="153"/>
    <n v="4.88"/>
    <n v="86"/>
    <n v="7.88"/>
    <n v="67"/>
    <n v="3.28"/>
    <x v="0"/>
  </r>
  <r>
    <x v="0"/>
    <s v="名古屋市守山区"/>
    <x v="14"/>
    <x v="14"/>
    <n v="130"/>
    <n v="4.1500000000000004"/>
    <n v="34"/>
    <n v="3.12"/>
    <n v="96"/>
    <n v="4.7"/>
    <x v="0"/>
  </r>
  <r>
    <x v="0"/>
    <s v="名古屋市緑区"/>
    <x v="15"/>
    <x v="0"/>
    <n v="0"/>
    <n v="0"/>
    <n v="0"/>
    <n v="0"/>
    <n v="0"/>
    <n v="0"/>
    <x v="0"/>
  </r>
  <r>
    <x v="0"/>
    <s v="名古屋市緑区"/>
    <x v="15"/>
    <x v="1"/>
    <n v="583"/>
    <n v="15.4"/>
    <n v="73"/>
    <n v="5.03"/>
    <n v="509"/>
    <n v="21.84"/>
    <x v="6"/>
  </r>
  <r>
    <x v="0"/>
    <s v="名古屋市緑区"/>
    <x v="15"/>
    <x v="2"/>
    <n v="592"/>
    <n v="15.64"/>
    <n v="118"/>
    <n v="8.14"/>
    <n v="474"/>
    <n v="20.329999999999998"/>
    <x v="0"/>
  </r>
  <r>
    <x v="0"/>
    <s v="名古屋市緑区"/>
    <x v="15"/>
    <x v="3"/>
    <n v="2"/>
    <n v="0.05"/>
    <n v="0"/>
    <n v="0"/>
    <n v="2"/>
    <n v="0.09"/>
    <x v="0"/>
  </r>
  <r>
    <x v="0"/>
    <s v="名古屋市緑区"/>
    <x v="15"/>
    <x v="4"/>
    <n v="33"/>
    <n v="0.87"/>
    <n v="4"/>
    <n v="0.28000000000000003"/>
    <n v="29"/>
    <n v="1.24"/>
    <x v="0"/>
  </r>
  <r>
    <x v="0"/>
    <s v="名古屋市緑区"/>
    <x v="15"/>
    <x v="5"/>
    <n v="22"/>
    <n v="0.57999999999999996"/>
    <n v="8"/>
    <n v="0.55000000000000004"/>
    <n v="14"/>
    <n v="0.6"/>
    <x v="0"/>
  </r>
  <r>
    <x v="0"/>
    <s v="名古屋市緑区"/>
    <x v="15"/>
    <x v="6"/>
    <n v="657"/>
    <n v="17.350000000000001"/>
    <n v="214"/>
    <n v="14.76"/>
    <n v="443"/>
    <n v="19"/>
    <x v="0"/>
  </r>
  <r>
    <x v="0"/>
    <s v="名古屋市緑区"/>
    <x v="15"/>
    <x v="7"/>
    <n v="37"/>
    <n v="0.98"/>
    <n v="5"/>
    <n v="0.34"/>
    <n v="32"/>
    <n v="1.37"/>
    <x v="0"/>
  </r>
  <r>
    <x v="0"/>
    <s v="名古屋市緑区"/>
    <x v="15"/>
    <x v="8"/>
    <n v="315"/>
    <n v="8.32"/>
    <n v="42"/>
    <n v="2.9"/>
    <n v="273"/>
    <n v="11.71"/>
    <x v="0"/>
  </r>
  <r>
    <x v="0"/>
    <s v="名古屋市緑区"/>
    <x v="15"/>
    <x v="9"/>
    <n v="235"/>
    <n v="6.21"/>
    <n v="125"/>
    <n v="8.6199999999999992"/>
    <n v="110"/>
    <n v="4.72"/>
    <x v="0"/>
  </r>
  <r>
    <x v="0"/>
    <s v="名古屋市緑区"/>
    <x v="15"/>
    <x v="10"/>
    <n v="309"/>
    <n v="8.16"/>
    <n v="244"/>
    <n v="16.829999999999998"/>
    <n v="65"/>
    <n v="2.79"/>
    <x v="0"/>
  </r>
  <r>
    <x v="0"/>
    <s v="名古屋市緑区"/>
    <x v="15"/>
    <x v="11"/>
    <n v="440"/>
    <n v="11.62"/>
    <n v="286"/>
    <n v="19.72"/>
    <n v="154"/>
    <n v="6.61"/>
    <x v="0"/>
  </r>
  <r>
    <x v="0"/>
    <s v="名古屋市緑区"/>
    <x v="15"/>
    <x v="12"/>
    <n v="227"/>
    <n v="6"/>
    <n v="159"/>
    <n v="10.97"/>
    <n v="66"/>
    <n v="2.83"/>
    <x v="6"/>
  </r>
  <r>
    <x v="0"/>
    <s v="名古屋市緑区"/>
    <x v="15"/>
    <x v="13"/>
    <n v="192"/>
    <n v="5.07"/>
    <n v="128"/>
    <n v="8.83"/>
    <n v="62"/>
    <n v="2.66"/>
    <x v="14"/>
  </r>
  <r>
    <x v="0"/>
    <s v="名古屋市緑区"/>
    <x v="15"/>
    <x v="14"/>
    <n v="142"/>
    <n v="3.75"/>
    <n v="44"/>
    <n v="3.03"/>
    <n v="98"/>
    <n v="4.2"/>
    <x v="0"/>
  </r>
  <r>
    <x v="0"/>
    <s v="名古屋市名東区"/>
    <x v="16"/>
    <x v="0"/>
    <n v="0"/>
    <n v="0"/>
    <n v="0"/>
    <n v="0"/>
    <n v="0"/>
    <n v="0"/>
    <x v="0"/>
  </r>
  <r>
    <x v="0"/>
    <s v="名古屋市名東区"/>
    <x v="16"/>
    <x v="1"/>
    <n v="364"/>
    <n v="10.94"/>
    <n v="29"/>
    <n v="2.4"/>
    <n v="335"/>
    <n v="15.84"/>
    <x v="0"/>
  </r>
  <r>
    <x v="0"/>
    <s v="名古屋市名東区"/>
    <x v="16"/>
    <x v="2"/>
    <n v="79"/>
    <n v="2.37"/>
    <n v="12"/>
    <n v="0.99"/>
    <n v="67"/>
    <n v="3.17"/>
    <x v="0"/>
  </r>
  <r>
    <x v="0"/>
    <s v="名古屋市名東区"/>
    <x v="16"/>
    <x v="3"/>
    <n v="2"/>
    <n v="0.06"/>
    <n v="0"/>
    <n v="0"/>
    <n v="2"/>
    <n v="0.09"/>
    <x v="0"/>
  </r>
  <r>
    <x v="0"/>
    <s v="名古屋市名東区"/>
    <x v="16"/>
    <x v="4"/>
    <n v="50"/>
    <n v="1.5"/>
    <n v="5"/>
    <n v="0.41"/>
    <n v="45"/>
    <n v="2.13"/>
    <x v="0"/>
  </r>
  <r>
    <x v="0"/>
    <s v="名古屋市名東区"/>
    <x v="16"/>
    <x v="5"/>
    <n v="13"/>
    <n v="0.39"/>
    <n v="5"/>
    <n v="0.41"/>
    <n v="8"/>
    <n v="0.38"/>
    <x v="0"/>
  </r>
  <r>
    <x v="0"/>
    <s v="名古屋市名東区"/>
    <x v="16"/>
    <x v="6"/>
    <n v="692"/>
    <n v="20.79"/>
    <n v="171"/>
    <n v="14.13"/>
    <n v="521"/>
    <n v="24.63"/>
    <x v="0"/>
  </r>
  <r>
    <x v="0"/>
    <s v="名古屋市名東区"/>
    <x v="16"/>
    <x v="7"/>
    <n v="41"/>
    <n v="1.23"/>
    <n v="6"/>
    <n v="0.5"/>
    <n v="35"/>
    <n v="1.65"/>
    <x v="0"/>
  </r>
  <r>
    <x v="0"/>
    <s v="名古屋市名東区"/>
    <x v="16"/>
    <x v="8"/>
    <n v="534"/>
    <n v="16.05"/>
    <n v="45"/>
    <n v="3.72"/>
    <n v="487"/>
    <n v="23.03"/>
    <x v="14"/>
  </r>
  <r>
    <x v="0"/>
    <s v="名古屋市名東区"/>
    <x v="16"/>
    <x v="9"/>
    <n v="288"/>
    <n v="8.65"/>
    <n v="121"/>
    <n v="10"/>
    <n v="167"/>
    <n v="7.9"/>
    <x v="0"/>
  </r>
  <r>
    <x v="0"/>
    <s v="名古屋市名東区"/>
    <x v="16"/>
    <x v="10"/>
    <n v="353"/>
    <n v="10.61"/>
    <n v="281"/>
    <n v="23.22"/>
    <n v="72"/>
    <n v="3.4"/>
    <x v="0"/>
  </r>
  <r>
    <x v="0"/>
    <s v="名古屋市名東区"/>
    <x v="16"/>
    <x v="11"/>
    <n v="419"/>
    <n v="12.59"/>
    <n v="274"/>
    <n v="22.64"/>
    <n v="145"/>
    <n v="6.86"/>
    <x v="0"/>
  </r>
  <r>
    <x v="0"/>
    <s v="名古屋市名東区"/>
    <x v="16"/>
    <x v="12"/>
    <n v="191"/>
    <n v="5.74"/>
    <n v="120"/>
    <n v="9.92"/>
    <n v="70"/>
    <n v="3.31"/>
    <x v="6"/>
  </r>
  <r>
    <x v="0"/>
    <s v="名古屋市名東区"/>
    <x v="16"/>
    <x v="13"/>
    <n v="193"/>
    <n v="5.8"/>
    <n v="126"/>
    <n v="10.41"/>
    <n v="67"/>
    <n v="3.17"/>
    <x v="0"/>
  </r>
  <r>
    <x v="0"/>
    <s v="名古屋市名東区"/>
    <x v="16"/>
    <x v="14"/>
    <n v="109"/>
    <n v="3.28"/>
    <n v="15"/>
    <n v="1.24"/>
    <n v="94"/>
    <n v="4.4400000000000004"/>
    <x v="0"/>
  </r>
  <r>
    <x v="0"/>
    <s v="名古屋市天白区"/>
    <x v="17"/>
    <x v="0"/>
    <n v="0"/>
    <n v="0"/>
    <n v="0"/>
    <n v="0"/>
    <n v="0"/>
    <n v="0"/>
    <x v="0"/>
  </r>
  <r>
    <x v="0"/>
    <s v="名古屋市天白区"/>
    <x v="17"/>
    <x v="1"/>
    <n v="443"/>
    <n v="14.02"/>
    <n v="47"/>
    <n v="4.0199999999999996"/>
    <n v="396"/>
    <n v="19.93"/>
    <x v="0"/>
  </r>
  <r>
    <x v="0"/>
    <s v="名古屋市天白区"/>
    <x v="17"/>
    <x v="2"/>
    <n v="282"/>
    <n v="8.93"/>
    <n v="54"/>
    <n v="4.62"/>
    <n v="228"/>
    <n v="11.47"/>
    <x v="0"/>
  </r>
  <r>
    <x v="0"/>
    <s v="名古屋市天白区"/>
    <x v="17"/>
    <x v="3"/>
    <n v="3"/>
    <n v="0.09"/>
    <n v="0"/>
    <n v="0"/>
    <n v="3"/>
    <n v="0.15"/>
    <x v="0"/>
  </r>
  <r>
    <x v="0"/>
    <s v="名古屋市天白区"/>
    <x v="17"/>
    <x v="4"/>
    <n v="40"/>
    <n v="1.27"/>
    <n v="3"/>
    <n v="0.26"/>
    <n v="37"/>
    <n v="1.86"/>
    <x v="0"/>
  </r>
  <r>
    <x v="0"/>
    <s v="名古屋市天白区"/>
    <x v="17"/>
    <x v="5"/>
    <n v="13"/>
    <n v="0.41"/>
    <n v="4"/>
    <n v="0.34"/>
    <n v="9"/>
    <n v="0.45"/>
    <x v="0"/>
  </r>
  <r>
    <x v="0"/>
    <s v="名古屋市天白区"/>
    <x v="17"/>
    <x v="6"/>
    <n v="627"/>
    <n v="19.850000000000001"/>
    <n v="213"/>
    <n v="18.21"/>
    <n v="413"/>
    <n v="20.79"/>
    <x v="6"/>
  </r>
  <r>
    <x v="0"/>
    <s v="名古屋市天白区"/>
    <x v="17"/>
    <x v="7"/>
    <n v="29"/>
    <n v="0.92"/>
    <n v="2"/>
    <n v="0.17"/>
    <n v="27"/>
    <n v="1.36"/>
    <x v="0"/>
  </r>
  <r>
    <x v="0"/>
    <s v="名古屋市天白区"/>
    <x v="17"/>
    <x v="8"/>
    <n v="367"/>
    <n v="11.62"/>
    <n v="30"/>
    <n v="2.56"/>
    <n v="337"/>
    <n v="16.96"/>
    <x v="0"/>
  </r>
  <r>
    <x v="0"/>
    <s v="名古屋市天白区"/>
    <x v="17"/>
    <x v="9"/>
    <n v="241"/>
    <n v="7.63"/>
    <n v="109"/>
    <n v="9.32"/>
    <n v="132"/>
    <n v="6.64"/>
    <x v="0"/>
  </r>
  <r>
    <x v="0"/>
    <s v="名古屋市天白区"/>
    <x v="17"/>
    <x v="10"/>
    <n v="301"/>
    <n v="9.5299999999999994"/>
    <n v="234"/>
    <n v="20"/>
    <n v="66"/>
    <n v="3.32"/>
    <x v="0"/>
  </r>
  <r>
    <x v="0"/>
    <s v="名古屋市天白区"/>
    <x v="17"/>
    <x v="11"/>
    <n v="367"/>
    <n v="11.62"/>
    <n v="250"/>
    <n v="21.37"/>
    <n v="117"/>
    <n v="5.89"/>
    <x v="0"/>
  </r>
  <r>
    <x v="0"/>
    <s v="名古屋市天白区"/>
    <x v="17"/>
    <x v="12"/>
    <n v="141"/>
    <n v="4.46"/>
    <n v="92"/>
    <n v="7.86"/>
    <n v="49"/>
    <n v="2.4700000000000002"/>
    <x v="0"/>
  </r>
  <r>
    <x v="0"/>
    <s v="名古屋市天白区"/>
    <x v="17"/>
    <x v="13"/>
    <n v="189"/>
    <n v="5.98"/>
    <n v="106"/>
    <n v="9.06"/>
    <n v="83"/>
    <n v="4.18"/>
    <x v="0"/>
  </r>
  <r>
    <x v="0"/>
    <s v="名古屋市天白区"/>
    <x v="17"/>
    <x v="14"/>
    <n v="116"/>
    <n v="3.67"/>
    <n v="26"/>
    <n v="2.2200000000000002"/>
    <n v="90"/>
    <n v="4.53"/>
    <x v="0"/>
  </r>
  <r>
    <x v="0"/>
    <s v="豊橋市"/>
    <x v="18"/>
    <x v="0"/>
    <n v="1"/>
    <n v="0.01"/>
    <n v="0"/>
    <n v="0"/>
    <n v="1"/>
    <n v="0.02"/>
    <x v="0"/>
  </r>
  <r>
    <x v="0"/>
    <s v="豊橋市"/>
    <x v="18"/>
    <x v="1"/>
    <n v="1095"/>
    <n v="13.61"/>
    <n v="268"/>
    <n v="6.91"/>
    <n v="826"/>
    <n v="19.989999999999998"/>
    <x v="6"/>
  </r>
  <r>
    <x v="0"/>
    <s v="豊橋市"/>
    <x v="18"/>
    <x v="2"/>
    <n v="865"/>
    <n v="10.75"/>
    <n v="262"/>
    <n v="6.76"/>
    <n v="601"/>
    <n v="14.54"/>
    <x v="14"/>
  </r>
  <r>
    <x v="0"/>
    <s v="豊橋市"/>
    <x v="18"/>
    <x v="3"/>
    <n v="14"/>
    <n v="0.17"/>
    <n v="0"/>
    <n v="0"/>
    <n v="14"/>
    <n v="0.34"/>
    <x v="0"/>
  </r>
  <r>
    <x v="0"/>
    <s v="豊橋市"/>
    <x v="18"/>
    <x v="4"/>
    <n v="67"/>
    <n v="0.83"/>
    <n v="6"/>
    <n v="0.15"/>
    <n v="61"/>
    <n v="1.48"/>
    <x v="0"/>
  </r>
  <r>
    <x v="0"/>
    <s v="豊橋市"/>
    <x v="18"/>
    <x v="5"/>
    <n v="78"/>
    <n v="0.97"/>
    <n v="9"/>
    <n v="0.23"/>
    <n v="68"/>
    <n v="1.65"/>
    <x v="0"/>
  </r>
  <r>
    <x v="0"/>
    <s v="豊橋市"/>
    <x v="18"/>
    <x v="6"/>
    <n v="1775"/>
    <n v="22.06"/>
    <n v="736"/>
    <n v="18.98"/>
    <n v="1039"/>
    <n v="25.14"/>
    <x v="0"/>
  </r>
  <r>
    <x v="0"/>
    <s v="豊橋市"/>
    <x v="18"/>
    <x v="7"/>
    <n v="75"/>
    <n v="0.93"/>
    <n v="11"/>
    <n v="0.28000000000000003"/>
    <n v="64"/>
    <n v="1.55"/>
    <x v="0"/>
  </r>
  <r>
    <x v="0"/>
    <s v="豊橋市"/>
    <x v="18"/>
    <x v="8"/>
    <n v="681"/>
    <n v="8.4600000000000009"/>
    <n v="236"/>
    <n v="6.09"/>
    <n v="445"/>
    <n v="10.77"/>
    <x v="0"/>
  </r>
  <r>
    <x v="0"/>
    <s v="豊橋市"/>
    <x v="18"/>
    <x v="9"/>
    <n v="468"/>
    <n v="5.82"/>
    <n v="235"/>
    <n v="6.06"/>
    <n v="232"/>
    <n v="5.61"/>
    <x v="0"/>
  </r>
  <r>
    <x v="0"/>
    <s v="豊橋市"/>
    <x v="18"/>
    <x v="10"/>
    <n v="962"/>
    <n v="11.96"/>
    <n v="782"/>
    <n v="20.170000000000002"/>
    <n v="178"/>
    <n v="4.3099999999999996"/>
    <x v="0"/>
  </r>
  <r>
    <x v="0"/>
    <s v="豊橋市"/>
    <x v="18"/>
    <x v="11"/>
    <n v="989"/>
    <n v="12.29"/>
    <n v="791"/>
    <n v="20.399999999999999"/>
    <n v="194"/>
    <n v="4.6900000000000004"/>
    <x v="6"/>
  </r>
  <r>
    <x v="0"/>
    <s v="豊橋市"/>
    <x v="18"/>
    <x v="12"/>
    <n v="344"/>
    <n v="4.28"/>
    <n v="217"/>
    <n v="5.6"/>
    <n v="124"/>
    <n v="3"/>
    <x v="0"/>
  </r>
  <r>
    <x v="0"/>
    <s v="豊橋市"/>
    <x v="18"/>
    <x v="13"/>
    <n v="339"/>
    <n v="4.21"/>
    <n v="227"/>
    <n v="5.85"/>
    <n v="95"/>
    <n v="2.2999999999999998"/>
    <x v="3"/>
  </r>
  <r>
    <x v="0"/>
    <s v="豊橋市"/>
    <x v="18"/>
    <x v="14"/>
    <n v="293"/>
    <n v="3.64"/>
    <n v="98"/>
    <n v="2.5299999999999998"/>
    <n v="191"/>
    <n v="4.62"/>
    <x v="14"/>
  </r>
  <r>
    <x v="0"/>
    <s v="岡崎市"/>
    <x v="19"/>
    <x v="0"/>
    <n v="3"/>
    <n v="0.04"/>
    <n v="0"/>
    <n v="0"/>
    <n v="3"/>
    <n v="0.08"/>
    <x v="0"/>
  </r>
  <r>
    <x v="0"/>
    <s v="岡崎市"/>
    <x v="19"/>
    <x v="1"/>
    <n v="1045"/>
    <n v="14.39"/>
    <n v="273"/>
    <n v="7.62"/>
    <n v="772"/>
    <n v="21.21"/>
    <x v="0"/>
  </r>
  <r>
    <x v="0"/>
    <s v="岡崎市"/>
    <x v="19"/>
    <x v="2"/>
    <n v="905"/>
    <n v="12.46"/>
    <n v="344"/>
    <n v="9.6"/>
    <n v="561"/>
    <n v="15.41"/>
    <x v="0"/>
  </r>
  <r>
    <x v="0"/>
    <s v="岡崎市"/>
    <x v="19"/>
    <x v="3"/>
    <n v="7"/>
    <n v="0.1"/>
    <n v="0"/>
    <n v="0"/>
    <n v="7"/>
    <n v="0.19"/>
    <x v="0"/>
  </r>
  <r>
    <x v="0"/>
    <s v="岡崎市"/>
    <x v="19"/>
    <x v="4"/>
    <n v="59"/>
    <n v="0.81"/>
    <n v="2"/>
    <n v="0.06"/>
    <n v="57"/>
    <n v="1.57"/>
    <x v="0"/>
  </r>
  <r>
    <x v="0"/>
    <s v="岡崎市"/>
    <x v="19"/>
    <x v="5"/>
    <n v="32"/>
    <n v="0.44"/>
    <n v="5"/>
    <n v="0.14000000000000001"/>
    <n v="27"/>
    <n v="0.74"/>
    <x v="0"/>
  </r>
  <r>
    <x v="0"/>
    <s v="岡崎市"/>
    <x v="19"/>
    <x v="6"/>
    <n v="1601"/>
    <n v="22.04"/>
    <n v="734"/>
    <n v="20.49"/>
    <n v="865"/>
    <n v="23.76"/>
    <x v="14"/>
  </r>
  <r>
    <x v="0"/>
    <s v="岡崎市"/>
    <x v="19"/>
    <x v="7"/>
    <n v="71"/>
    <n v="0.98"/>
    <n v="11"/>
    <n v="0.31"/>
    <n v="60"/>
    <n v="1.65"/>
    <x v="0"/>
  </r>
  <r>
    <x v="0"/>
    <s v="岡崎市"/>
    <x v="19"/>
    <x v="8"/>
    <n v="629"/>
    <n v="8.66"/>
    <n v="186"/>
    <n v="5.19"/>
    <n v="442"/>
    <n v="12.14"/>
    <x v="6"/>
  </r>
  <r>
    <x v="0"/>
    <s v="岡崎市"/>
    <x v="19"/>
    <x v="9"/>
    <n v="425"/>
    <n v="5.85"/>
    <n v="235"/>
    <n v="6.56"/>
    <n v="188"/>
    <n v="5.16"/>
    <x v="0"/>
  </r>
  <r>
    <x v="0"/>
    <s v="岡崎市"/>
    <x v="19"/>
    <x v="10"/>
    <n v="758"/>
    <n v="10.44"/>
    <n v="597"/>
    <n v="16.670000000000002"/>
    <n v="158"/>
    <n v="4.34"/>
    <x v="14"/>
  </r>
  <r>
    <x v="0"/>
    <s v="岡崎市"/>
    <x v="19"/>
    <x v="11"/>
    <n v="857"/>
    <n v="11.8"/>
    <n v="661"/>
    <n v="18.45"/>
    <n v="192"/>
    <n v="5.27"/>
    <x v="6"/>
  </r>
  <r>
    <x v="0"/>
    <s v="岡崎市"/>
    <x v="19"/>
    <x v="12"/>
    <n v="323"/>
    <n v="4.45"/>
    <n v="242"/>
    <n v="6.76"/>
    <n v="77"/>
    <n v="2.12"/>
    <x v="6"/>
  </r>
  <r>
    <x v="0"/>
    <s v="岡崎市"/>
    <x v="19"/>
    <x v="13"/>
    <n v="311"/>
    <n v="4.28"/>
    <n v="194"/>
    <n v="5.42"/>
    <n v="95"/>
    <n v="2.61"/>
    <x v="0"/>
  </r>
  <r>
    <x v="0"/>
    <s v="岡崎市"/>
    <x v="19"/>
    <x v="14"/>
    <n v="237"/>
    <n v="3.26"/>
    <n v="98"/>
    <n v="2.74"/>
    <n v="136"/>
    <n v="3.74"/>
    <x v="15"/>
  </r>
  <r>
    <x v="0"/>
    <s v="一宮市"/>
    <x v="20"/>
    <x v="0"/>
    <n v="1"/>
    <n v="0.01"/>
    <n v="0"/>
    <n v="0"/>
    <n v="1"/>
    <n v="0.02"/>
    <x v="0"/>
  </r>
  <r>
    <x v="0"/>
    <s v="一宮市"/>
    <x v="20"/>
    <x v="1"/>
    <n v="1407"/>
    <n v="14.16"/>
    <n v="468"/>
    <n v="8.76"/>
    <n v="939"/>
    <n v="20.57"/>
    <x v="0"/>
  </r>
  <r>
    <x v="0"/>
    <s v="一宮市"/>
    <x v="20"/>
    <x v="2"/>
    <n v="1623"/>
    <n v="16.329999999999998"/>
    <n v="818"/>
    <n v="15.31"/>
    <n v="805"/>
    <n v="17.63"/>
    <x v="0"/>
  </r>
  <r>
    <x v="0"/>
    <s v="一宮市"/>
    <x v="20"/>
    <x v="3"/>
    <n v="20"/>
    <n v="0.2"/>
    <n v="2"/>
    <n v="0.04"/>
    <n v="18"/>
    <n v="0.39"/>
    <x v="0"/>
  </r>
  <r>
    <x v="0"/>
    <s v="一宮市"/>
    <x v="20"/>
    <x v="4"/>
    <n v="71"/>
    <n v="0.71"/>
    <n v="5"/>
    <n v="0.09"/>
    <n v="66"/>
    <n v="1.45"/>
    <x v="0"/>
  </r>
  <r>
    <x v="0"/>
    <s v="一宮市"/>
    <x v="20"/>
    <x v="5"/>
    <n v="107"/>
    <n v="1.08"/>
    <n v="21"/>
    <n v="0.39"/>
    <n v="86"/>
    <n v="1.88"/>
    <x v="0"/>
  </r>
  <r>
    <x v="0"/>
    <s v="一宮市"/>
    <x v="20"/>
    <x v="6"/>
    <n v="1844"/>
    <n v="18.55"/>
    <n v="871"/>
    <n v="16.3"/>
    <n v="972"/>
    <n v="21.29"/>
    <x v="6"/>
  </r>
  <r>
    <x v="0"/>
    <s v="一宮市"/>
    <x v="20"/>
    <x v="7"/>
    <n v="54"/>
    <n v="0.54"/>
    <n v="10"/>
    <n v="0.19"/>
    <n v="44"/>
    <n v="0.96"/>
    <x v="0"/>
  </r>
  <r>
    <x v="0"/>
    <s v="一宮市"/>
    <x v="20"/>
    <x v="8"/>
    <n v="889"/>
    <n v="8.94"/>
    <n v="317"/>
    <n v="5.93"/>
    <n v="572"/>
    <n v="12.53"/>
    <x v="0"/>
  </r>
  <r>
    <x v="0"/>
    <s v="一宮市"/>
    <x v="20"/>
    <x v="9"/>
    <n v="523"/>
    <n v="5.26"/>
    <n v="318"/>
    <n v="5.95"/>
    <n v="203"/>
    <n v="4.45"/>
    <x v="6"/>
  </r>
  <r>
    <x v="0"/>
    <s v="一宮市"/>
    <x v="20"/>
    <x v="10"/>
    <n v="980"/>
    <n v="9.86"/>
    <n v="820"/>
    <n v="15.34"/>
    <n v="158"/>
    <n v="3.46"/>
    <x v="0"/>
  </r>
  <r>
    <x v="0"/>
    <s v="一宮市"/>
    <x v="20"/>
    <x v="11"/>
    <n v="1017"/>
    <n v="10.23"/>
    <n v="775"/>
    <n v="14.5"/>
    <n v="241"/>
    <n v="5.28"/>
    <x v="6"/>
  </r>
  <r>
    <x v="0"/>
    <s v="一宮市"/>
    <x v="20"/>
    <x v="12"/>
    <n v="500"/>
    <n v="5.03"/>
    <n v="393"/>
    <n v="7.35"/>
    <n v="92"/>
    <n v="2.0099999999999998"/>
    <x v="14"/>
  </r>
  <r>
    <x v="0"/>
    <s v="一宮市"/>
    <x v="20"/>
    <x v="13"/>
    <n v="552"/>
    <n v="5.55"/>
    <n v="349"/>
    <n v="6.53"/>
    <n v="199"/>
    <n v="4.3600000000000003"/>
    <x v="0"/>
  </r>
  <r>
    <x v="0"/>
    <s v="一宮市"/>
    <x v="20"/>
    <x v="14"/>
    <n v="351"/>
    <n v="3.53"/>
    <n v="177"/>
    <n v="3.31"/>
    <n v="170"/>
    <n v="3.72"/>
    <x v="3"/>
  </r>
  <r>
    <x v="0"/>
    <s v="瀬戸市"/>
    <x v="21"/>
    <x v="0"/>
    <n v="8"/>
    <n v="0.3"/>
    <n v="0"/>
    <n v="0"/>
    <n v="8"/>
    <n v="0.55000000000000004"/>
    <x v="0"/>
  </r>
  <r>
    <x v="0"/>
    <s v="瀬戸市"/>
    <x v="21"/>
    <x v="1"/>
    <n v="349"/>
    <n v="12.88"/>
    <n v="90"/>
    <n v="7.28"/>
    <n v="259"/>
    <n v="17.829999999999998"/>
    <x v="0"/>
  </r>
  <r>
    <x v="0"/>
    <s v="瀬戸市"/>
    <x v="21"/>
    <x v="2"/>
    <n v="649"/>
    <n v="23.95"/>
    <n v="262"/>
    <n v="21.2"/>
    <n v="387"/>
    <n v="26.63"/>
    <x v="0"/>
  </r>
  <r>
    <x v="0"/>
    <s v="瀬戸市"/>
    <x v="21"/>
    <x v="3"/>
    <n v="4"/>
    <n v="0.15"/>
    <n v="1"/>
    <n v="0.08"/>
    <n v="2"/>
    <n v="0.14000000000000001"/>
    <x v="0"/>
  </r>
  <r>
    <x v="0"/>
    <s v="瀬戸市"/>
    <x v="21"/>
    <x v="4"/>
    <n v="18"/>
    <n v="0.66"/>
    <n v="2"/>
    <n v="0.16"/>
    <n v="16"/>
    <n v="1.1000000000000001"/>
    <x v="0"/>
  </r>
  <r>
    <x v="0"/>
    <s v="瀬戸市"/>
    <x v="21"/>
    <x v="5"/>
    <n v="33"/>
    <n v="1.22"/>
    <n v="3"/>
    <n v="0.24"/>
    <n v="30"/>
    <n v="2.06"/>
    <x v="0"/>
  </r>
  <r>
    <x v="0"/>
    <s v="瀬戸市"/>
    <x v="21"/>
    <x v="6"/>
    <n v="588"/>
    <n v="21.7"/>
    <n v="255"/>
    <n v="20.63"/>
    <n v="332"/>
    <n v="22.85"/>
    <x v="6"/>
  </r>
  <r>
    <x v="0"/>
    <s v="瀬戸市"/>
    <x v="21"/>
    <x v="7"/>
    <n v="13"/>
    <n v="0.48"/>
    <n v="2"/>
    <n v="0.16"/>
    <n v="11"/>
    <n v="0.76"/>
    <x v="0"/>
  </r>
  <r>
    <x v="0"/>
    <s v="瀬戸市"/>
    <x v="21"/>
    <x v="8"/>
    <n v="172"/>
    <n v="6.35"/>
    <n v="52"/>
    <n v="4.21"/>
    <n v="119"/>
    <n v="8.19"/>
    <x v="6"/>
  </r>
  <r>
    <x v="0"/>
    <s v="瀬戸市"/>
    <x v="21"/>
    <x v="9"/>
    <n v="112"/>
    <n v="4.13"/>
    <n v="54"/>
    <n v="4.37"/>
    <n v="58"/>
    <n v="3.99"/>
    <x v="0"/>
  </r>
  <r>
    <x v="0"/>
    <s v="瀬戸市"/>
    <x v="21"/>
    <x v="10"/>
    <n v="226"/>
    <n v="8.34"/>
    <n v="178"/>
    <n v="14.4"/>
    <n v="47"/>
    <n v="3.23"/>
    <x v="0"/>
  </r>
  <r>
    <x v="0"/>
    <s v="瀬戸市"/>
    <x v="21"/>
    <x v="11"/>
    <n v="245"/>
    <n v="9.0399999999999991"/>
    <n v="184"/>
    <n v="14.89"/>
    <n v="60"/>
    <n v="4.13"/>
    <x v="0"/>
  </r>
  <r>
    <x v="0"/>
    <s v="瀬戸市"/>
    <x v="21"/>
    <x v="12"/>
    <n v="96"/>
    <n v="3.54"/>
    <n v="57"/>
    <n v="4.6100000000000003"/>
    <n v="24"/>
    <n v="1.65"/>
    <x v="6"/>
  </r>
  <r>
    <x v="0"/>
    <s v="瀬戸市"/>
    <x v="21"/>
    <x v="13"/>
    <n v="97"/>
    <n v="3.58"/>
    <n v="65"/>
    <n v="5.26"/>
    <n v="32"/>
    <n v="2.2000000000000002"/>
    <x v="0"/>
  </r>
  <r>
    <x v="0"/>
    <s v="瀬戸市"/>
    <x v="21"/>
    <x v="14"/>
    <n v="100"/>
    <n v="3.69"/>
    <n v="31"/>
    <n v="2.5099999999999998"/>
    <n v="68"/>
    <n v="4.68"/>
    <x v="6"/>
  </r>
  <r>
    <x v="0"/>
    <s v="半田市"/>
    <x v="22"/>
    <x v="0"/>
    <n v="0"/>
    <n v="0"/>
    <n v="0"/>
    <n v="0"/>
    <n v="0"/>
    <n v="0"/>
    <x v="0"/>
  </r>
  <r>
    <x v="0"/>
    <s v="半田市"/>
    <x v="22"/>
    <x v="1"/>
    <n v="353"/>
    <n v="13.38"/>
    <n v="80"/>
    <n v="5.86"/>
    <n v="273"/>
    <n v="21.67"/>
    <x v="0"/>
  </r>
  <r>
    <x v="0"/>
    <s v="半田市"/>
    <x v="22"/>
    <x v="2"/>
    <n v="261"/>
    <n v="9.89"/>
    <n v="83"/>
    <n v="6.08"/>
    <n v="178"/>
    <n v="14.13"/>
    <x v="0"/>
  </r>
  <r>
    <x v="0"/>
    <s v="半田市"/>
    <x v="22"/>
    <x v="3"/>
    <n v="4"/>
    <n v="0.15"/>
    <n v="0"/>
    <n v="0"/>
    <n v="4"/>
    <n v="0.32"/>
    <x v="0"/>
  </r>
  <r>
    <x v="0"/>
    <s v="半田市"/>
    <x v="22"/>
    <x v="4"/>
    <n v="15"/>
    <n v="0.56999999999999995"/>
    <n v="1"/>
    <n v="7.0000000000000007E-2"/>
    <n v="14"/>
    <n v="1.1100000000000001"/>
    <x v="0"/>
  </r>
  <r>
    <x v="0"/>
    <s v="半田市"/>
    <x v="22"/>
    <x v="5"/>
    <n v="23"/>
    <n v="0.87"/>
    <n v="3"/>
    <n v="0.22"/>
    <n v="20"/>
    <n v="1.59"/>
    <x v="0"/>
  </r>
  <r>
    <x v="0"/>
    <s v="半田市"/>
    <x v="22"/>
    <x v="6"/>
    <n v="560"/>
    <n v="21.23"/>
    <n v="291"/>
    <n v="21.32"/>
    <n v="269"/>
    <n v="21.35"/>
    <x v="0"/>
  </r>
  <r>
    <x v="0"/>
    <s v="半田市"/>
    <x v="22"/>
    <x v="7"/>
    <n v="24"/>
    <n v="0.91"/>
    <n v="2"/>
    <n v="0.15"/>
    <n v="22"/>
    <n v="1.75"/>
    <x v="0"/>
  </r>
  <r>
    <x v="0"/>
    <s v="半田市"/>
    <x v="22"/>
    <x v="8"/>
    <n v="210"/>
    <n v="7.96"/>
    <n v="61"/>
    <n v="4.47"/>
    <n v="149"/>
    <n v="11.83"/>
    <x v="0"/>
  </r>
  <r>
    <x v="0"/>
    <s v="半田市"/>
    <x v="22"/>
    <x v="9"/>
    <n v="160"/>
    <n v="6.07"/>
    <n v="113"/>
    <n v="8.2799999999999994"/>
    <n v="46"/>
    <n v="3.65"/>
    <x v="0"/>
  </r>
  <r>
    <x v="0"/>
    <s v="半田市"/>
    <x v="22"/>
    <x v="10"/>
    <n v="343"/>
    <n v="13"/>
    <n v="274"/>
    <n v="20.07"/>
    <n v="68"/>
    <n v="5.4"/>
    <x v="0"/>
  </r>
  <r>
    <x v="0"/>
    <s v="半田市"/>
    <x v="22"/>
    <x v="11"/>
    <n v="320"/>
    <n v="12.13"/>
    <n v="244"/>
    <n v="17.88"/>
    <n v="73"/>
    <n v="5.79"/>
    <x v="0"/>
  </r>
  <r>
    <x v="0"/>
    <s v="半田市"/>
    <x v="22"/>
    <x v="12"/>
    <n v="136"/>
    <n v="5.16"/>
    <n v="101"/>
    <n v="7.4"/>
    <n v="35"/>
    <n v="2.78"/>
    <x v="0"/>
  </r>
  <r>
    <x v="0"/>
    <s v="半田市"/>
    <x v="22"/>
    <x v="13"/>
    <n v="141"/>
    <n v="5.34"/>
    <n v="88"/>
    <n v="6.45"/>
    <n v="46"/>
    <n v="3.65"/>
    <x v="6"/>
  </r>
  <r>
    <x v="0"/>
    <s v="半田市"/>
    <x v="22"/>
    <x v="14"/>
    <n v="88"/>
    <n v="3.34"/>
    <n v="24"/>
    <n v="1.76"/>
    <n v="63"/>
    <n v="5"/>
    <x v="6"/>
  </r>
  <r>
    <x v="0"/>
    <s v="春日井市"/>
    <x v="23"/>
    <x v="0"/>
    <n v="0"/>
    <n v="0"/>
    <n v="0"/>
    <n v="0"/>
    <n v="0"/>
    <n v="0"/>
    <x v="0"/>
  </r>
  <r>
    <x v="0"/>
    <s v="春日井市"/>
    <x v="23"/>
    <x v="1"/>
    <n v="908"/>
    <n v="16.239999999999998"/>
    <n v="146"/>
    <n v="6"/>
    <n v="762"/>
    <n v="24.16"/>
    <x v="0"/>
  </r>
  <r>
    <x v="0"/>
    <s v="春日井市"/>
    <x v="23"/>
    <x v="2"/>
    <n v="718"/>
    <n v="12.84"/>
    <n v="170"/>
    <n v="6.99"/>
    <n v="547"/>
    <n v="17.34"/>
    <x v="6"/>
  </r>
  <r>
    <x v="0"/>
    <s v="春日井市"/>
    <x v="23"/>
    <x v="3"/>
    <n v="6"/>
    <n v="0.11"/>
    <n v="0"/>
    <n v="0"/>
    <n v="6"/>
    <n v="0.19"/>
    <x v="0"/>
  </r>
  <r>
    <x v="0"/>
    <s v="春日井市"/>
    <x v="23"/>
    <x v="4"/>
    <n v="40"/>
    <n v="0.72"/>
    <n v="2"/>
    <n v="0.08"/>
    <n v="38"/>
    <n v="1.2"/>
    <x v="0"/>
  </r>
  <r>
    <x v="0"/>
    <s v="春日井市"/>
    <x v="23"/>
    <x v="5"/>
    <n v="59"/>
    <n v="1.06"/>
    <n v="10"/>
    <n v="0.41"/>
    <n v="49"/>
    <n v="1.55"/>
    <x v="0"/>
  </r>
  <r>
    <x v="0"/>
    <s v="春日井市"/>
    <x v="23"/>
    <x v="6"/>
    <n v="1064"/>
    <n v="19.03"/>
    <n v="395"/>
    <n v="16.239999999999998"/>
    <n v="669"/>
    <n v="21.21"/>
    <x v="0"/>
  </r>
  <r>
    <x v="0"/>
    <s v="春日井市"/>
    <x v="23"/>
    <x v="7"/>
    <n v="40"/>
    <n v="0.72"/>
    <n v="4"/>
    <n v="0.16"/>
    <n v="36"/>
    <n v="1.1399999999999999"/>
    <x v="0"/>
  </r>
  <r>
    <x v="0"/>
    <s v="春日井市"/>
    <x v="23"/>
    <x v="8"/>
    <n v="399"/>
    <n v="7.14"/>
    <n v="95"/>
    <n v="3.91"/>
    <n v="303"/>
    <n v="9.61"/>
    <x v="0"/>
  </r>
  <r>
    <x v="0"/>
    <s v="春日井市"/>
    <x v="23"/>
    <x v="9"/>
    <n v="321"/>
    <n v="5.74"/>
    <n v="171"/>
    <n v="7.03"/>
    <n v="149"/>
    <n v="4.72"/>
    <x v="0"/>
  </r>
  <r>
    <x v="0"/>
    <s v="春日井市"/>
    <x v="23"/>
    <x v="10"/>
    <n v="640"/>
    <n v="11.44"/>
    <n v="490"/>
    <n v="20.149999999999999"/>
    <n v="149"/>
    <n v="4.72"/>
    <x v="0"/>
  </r>
  <r>
    <x v="0"/>
    <s v="春日井市"/>
    <x v="23"/>
    <x v="11"/>
    <n v="645"/>
    <n v="11.53"/>
    <n v="489"/>
    <n v="20.11"/>
    <n v="156"/>
    <n v="4.95"/>
    <x v="0"/>
  </r>
  <r>
    <x v="0"/>
    <s v="春日井市"/>
    <x v="23"/>
    <x v="12"/>
    <n v="292"/>
    <n v="5.22"/>
    <n v="219"/>
    <n v="9"/>
    <n v="73"/>
    <n v="2.31"/>
    <x v="0"/>
  </r>
  <r>
    <x v="0"/>
    <s v="春日井市"/>
    <x v="23"/>
    <x v="13"/>
    <n v="265"/>
    <n v="4.74"/>
    <n v="172"/>
    <n v="7.07"/>
    <n v="93"/>
    <n v="2.95"/>
    <x v="0"/>
  </r>
  <r>
    <x v="0"/>
    <s v="春日井市"/>
    <x v="23"/>
    <x v="14"/>
    <n v="195"/>
    <n v="3.49"/>
    <n v="69"/>
    <n v="2.84"/>
    <n v="124"/>
    <n v="3.93"/>
    <x v="14"/>
  </r>
  <r>
    <x v="0"/>
    <s v="豊川市"/>
    <x v="24"/>
    <x v="0"/>
    <n v="0"/>
    <n v="0"/>
    <n v="0"/>
    <n v="0"/>
    <n v="0"/>
    <n v="0"/>
    <x v="0"/>
  </r>
  <r>
    <x v="0"/>
    <s v="豊川市"/>
    <x v="24"/>
    <x v="1"/>
    <n v="550"/>
    <n v="14.81"/>
    <n v="155"/>
    <n v="8.02"/>
    <n v="395"/>
    <n v="22.44"/>
    <x v="0"/>
  </r>
  <r>
    <x v="0"/>
    <s v="豊川市"/>
    <x v="24"/>
    <x v="2"/>
    <n v="505"/>
    <n v="13.6"/>
    <n v="146"/>
    <n v="7.56"/>
    <n v="359"/>
    <n v="20.399999999999999"/>
    <x v="0"/>
  </r>
  <r>
    <x v="0"/>
    <s v="豊川市"/>
    <x v="24"/>
    <x v="3"/>
    <n v="6"/>
    <n v="0.16"/>
    <n v="0"/>
    <n v="0"/>
    <n v="6"/>
    <n v="0.34"/>
    <x v="0"/>
  </r>
  <r>
    <x v="0"/>
    <s v="豊川市"/>
    <x v="24"/>
    <x v="4"/>
    <n v="22"/>
    <n v="0.59"/>
    <n v="2"/>
    <n v="0.1"/>
    <n v="20"/>
    <n v="1.1399999999999999"/>
    <x v="0"/>
  </r>
  <r>
    <x v="0"/>
    <s v="豊川市"/>
    <x v="24"/>
    <x v="5"/>
    <n v="36"/>
    <n v="0.97"/>
    <n v="8"/>
    <n v="0.41"/>
    <n v="26"/>
    <n v="1.48"/>
    <x v="6"/>
  </r>
  <r>
    <x v="0"/>
    <s v="豊川市"/>
    <x v="24"/>
    <x v="6"/>
    <n v="860"/>
    <n v="23.16"/>
    <n v="443"/>
    <n v="22.93"/>
    <n v="413"/>
    <n v="23.47"/>
    <x v="3"/>
  </r>
  <r>
    <x v="0"/>
    <s v="豊川市"/>
    <x v="24"/>
    <x v="7"/>
    <n v="22"/>
    <n v="0.59"/>
    <n v="4"/>
    <n v="0.21"/>
    <n v="18"/>
    <n v="1.02"/>
    <x v="0"/>
  </r>
  <r>
    <x v="0"/>
    <s v="豊川市"/>
    <x v="24"/>
    <x v="8"/>
    <n v="209"/>
    <n v="5.63"/>
    <n v="60"/>
    <n v="3.11"/>
    <n v="147"/>
    <n v="8.35"/>
    <x v="6"/>
  </r>
  <r>
    <x v="0"/>
    <s v="豊川市"/>
    <x v="24"/>
    <x v="9"/>
    <n v="184"/>
    <n v="4.96"/>
    <n v="107"/>
    <n v="5.54"/>
    <n v="73"/>
    <n v="4.1500000000000004"/>
    <x v="0"/>
  </r>
  <r>
    <x v="0"/>
    <s v="豊川市"/>
    <x v="24"/>
    <x v="10"/>
    <n v="360"/>
    <n v="9.6999999999999993"/>
    <n v="293"/>
    <n v="15.17"/>
    <n v="66"/>
    <n v="3.75"/>
    <x v="0"/>
  </r>
  <r>
    <x v="0"/>
    <s v="豊川市"/>
    <x v="24"/>
    <x v="11"/>
    <n v="501"/>
    <n v="13.49"/>
    <n v="419"/>
    <n v="21.69"/>
    <n v="82"/>
    <n v="4.66"/>
    <x v="0"/>
  </r>
  <r>
    <x v="0"/>
    <s v="豊川市"/>
    <x v="24"/>
    <x v="12"/>
    <n v="182"/>
    <n v="4.9000000000000004"/>
    <n v="146"/>
    <n v="7.56"/>
    <n v="35"/>
    <n v="1.99"/>
    <x v="0"/>
  </r>
  <r>
    <x v="0"/>
    <s v="豊川市"/>
    <x v="24"/>
    <x v="13"/>
    <n v="165"/>
    <n v="4.4400000000000004"/>
    <n v="102"/>
    <n v="5.28"/>
    <n v="58"/>
    <n v="3.3"/>
    <x v="0"/>
  </r>
  <r>
    <x v="0"/>
    <s v="豊川市"/>
    <x v="24"/>
    <x v="14"/>
    <n v="111"/>
    <n v="2.99"/>
    <n v="47"/>
    <n v="2.4300000000000002"/>
    <n v="62"/>
    <n v="3.52"/>
    <x v="0"/>
  </r>
  <r>
    <x v="0"/>
    <s v="津島市"/>
    <x v="25"/>
    <x v="0"/>
    <n v="0"/>
    <n v="0"/>
    <n v="0"/>
    <n v="0"/>
    <n v="0"/>
    <n v="0"/>
    <x v="0"/>
  </r>
  <r>
    <x v="0"/>
    <s v="津島市"/>
    <x v="25"/>
    <x v="1"/>
    <n v="202"/>
    <n v="13.07"/>
    <n v="59"/>
    <n v="7.43"/>
    <n v="143"/>
    <n v="19.43"/>
    <x v="0"/>
  </r>
  <r>
    <x v="0"/>
    <s v="津島市"/>
    <x v="25"/>
    <x v="2"/>
    <n v="211"/>
    <n v="13.65"/>
    <n v="75"/>
    <n v="9.4499999999999993"/>
    <n v="136"/>
    <n v="18.48"/>
    <x v="0"/>
  </r>
  <r>
    <x v="0"/>
    <s v="津島市"/>
    <x v="25"/>
    <x v="3"/>
    <n v="3"/>
    <n v="0.19"/>
    <n v="0"/>
    <n v="0"/>
    <n v="1"/>
    <n v="0.14000000000000001"/>
    <x v="0"/>
  </r>
  <r>
    <x v="0"/>
    <s v="津島市"/>
    <x v="25"/>
    <x v="4"/>
    <n v="8"/>
    <n v="0.52"/>
    <n v="0"/>
    <n v="0"/>
    <n v="8"/>
    <n v="1.0900000000000001"/>
    <x v="0"/>
  </r>
  <r>
    <x v="0"/>
    <s v="津島市"/>
    <x v="25"/>
    <x v="5"/>
    <n v="9"/>
    <n v="0.57999999999999996"/>
    <n v="0"/>
    <n v="0"/>
    <n v="9"/>
    <n v="1.22"/>
    <x v="0"/>
  </r>
  <r>
    <x v="0"/>
    <s v="津島市"/>
    <x v="25"/>
    <x v="6"/>
    <n v="372"/>
    <n v="24.06"/>
    <n v="168"/>
    <n v="21.16"/>
    <n v="204"/>
    <n v="27.72"/>
    <x v="0"/>
  </r>
  <r>
    <x v="0"/>
    <s v="津島市"/>
    <x v="25"/>
    <x v="7"/>
    <n v="15"/>
    <n v="0.97"/>
    <n v="2"/>
    <n v="0.25"/>
    <n v="13"/>
    <n v="1.77"/>
    <x v="0"/>
  </r>
  <r>
    <x v="0"/>
    <s v="津島市"/>
    <x v="25"/>
    <x v="8"/>
    <n v="126"/>
    <n v="8.15"/>
    <n v="51"/>
    <n v="6.42"/>
    <n v="75"/>
    <n v="10.19"/>
    <x v="0"/>
  </r>
  <r>
    <x v="0"/>
    <s v="津島市"/>
    <x v="25"/>
    <x v="9"/>
    <n v="59"/>
    <n v="3.82"/>
    <n v="33"/>
    <n v="4.16"/>
    <n v="26"/>
    <n v="3.53"/>
    <x v="0"/>
  </r>
  <r>
    <x v="0"/>
    <s v="津島市"/>
    <x v="25"/>
    <x v="10"/>
    <n v="137"/>
    <n v="8.86"/>
    <n v="112"/>
    <n v="14.11"/>
    <n v="22"/>
    <n v="2.99"/>
    <x v="0"/>
  </r>
  <r>
    <x v="0"/>
    <s v="津島市"/>
    <x v="25"/>
    <x v="11"/>
    <n v="161"/>
    <n v="10.41"/>
    <n v="127"/>
    <n v="15.99"/>
    <n v="34"/>
    <n v="4.62"/>
    <x v="0"/>
  </r>
  <r>
    <x v="0"/>
    <s v="津島市"/>
    <x v="25"/>
    <x v="12"/>
    <n v="97"/>
    <n v="6.27"/>
    <n v="84"/>
    <n v="10.58"/>
    <n v="12"/>
    <n v="1.63"/>
    <x v="0"/>
  </r>
  <r>
    <x v="0"/>
    <s v="津島市"/>
    <x v="25"/>
    <x v="13"/>
    <n v="84"/>
    <n v="5.43"/>
    <n v="55"/>
    <n v="6.93"/>
    <n v="26"/>
    <n v="3.53"/>
    <x v="15"/>
  </r>
  <r>
    <x v="0"/>
    <s v="津島市"/>
    <x v="25"/>
    <x v="14"/>
    <n v="62"/>
    <n v="4.01"/>
    <n v="28"/>
    <n v="3.53"/>
    <n v="27"/>
    <n v="3.67"/>
    <x v="9"/>
  </r>
  <r>
    <x v="0"/>
    <s v="碧南市"/>
    <x v="26"/>
    <x v="0"/>
    <n v="1"/>
    <n v="0.06"/>
    <n v="0"/>
    <n v="0"/>
    <n v="1"/>
    <n v="0.13"/>
    <x v="0"/>
  </r>
  <r>
    <x v="0"/>
    <s v="碧南市"/>
    <x v="26"/>
    <x v="1"/>
    <n v="269"/>
    <n v="15.11"/>
    <n v="129"/>
    <n v="12.65"/>
    <n v="140"/>
    <n v="18.72"/>
    <x v="0"/>
  </r>
  <r>
    <x v="0"/>
    <s v="碧南市"/>
    <x v="26"/>
    <x v="2"/>
    <n v="357"/>
    <n v="20.059999999999999"/>
    <n v="156"/>
    <n v="15.29"/>
    <n v="201"/>
    <n v="26.87"/>
    <x v="0"/>
  </r>
  <r>
    <x v="0"/>
    <s v="碧南市"/>
    <x v="26"/>
    <x v="3"/>
    <n v="5"/>
    <n v="0.28000000000000003"/>
    <n v="0"/>
    <n v="0"/>
    <n v="4"/>
    <n v="0.53"/>
    <x v="0"/>
  </r>
  <r>
    <x v="0"/>
    <s v="碧南市"/>
    <x v="26"/>
    <x v="4"/>
    <n v="8"/>
    <n v="0.45"/>
    <n v="2"/>
    <n v="0.2"/>
    <n v="6"/>
    <n v="0.8"/>
    <x v="0"/>
  </r>
  <r>
    <x v="0"/>
    <s v="碧南市"/>
    <x v="26"/>
    <x v="5"/>
    <n v="27"/>
    <n v="1.52"/>
    <n v="3"/>
    <n v="0.28999999999999998"/>
    <n v="24"/>
    <n v="3.21"/>
    <x v="0"/>
  </r>
  <r>
    <x v="0"/>
    <s v="碧南市"/>
    <x v="26"/>
    <x v="6"/>
    <n v="380"/>
    <n v="21.35"/>
    <n v="224"/>
    <n v="21.96"/>
    <n v="156"/>
    <n v="20.86"/>
    <x v="0"/>
  </r>
  <r>
    <x v="0"/>
    <s v="碧南市"/>
    <x v="26"/>
    <x v="7"/>
    <n v="9"/>
    <n v="0.51"/>
    <n v="4"/>
    <n v="0.39"/>
    <n v="5"/>
    <n v="0.67"/>
    <x v="0"/>
  </r>
  <r>
    <x v="0"/>
    <s v="碧南市"/>
    <x v="26"/>
    <x v="8"/>
    <n v="125"/>
    <n v="7.02"/>
    <n v="51"/>
    <n v="5"/>
    <n v="74"/>
    <n v="9.89"/>
    <x v="0"/>
  </r>
  <r>
    <x v="0"/>
    <s v="碧南市"/>
    <x v="26"/>
    <x v="9"/>
    <n v="70"/>
    <n v="3.93"/>
    <n v="54"/>
    <n v="5.29"/>
    <n v="16"/>
    <n v="2.14"/>
    <x v="0"/>
  </r>
  <r>
    <x v="0"/>
    <s v="碧南市"/>
    <x v="26"/>
    <x v="10"/>
    <n v="122"/>
    <n v="6.85"/>
    <n v="100"/>
    <n v="9.8000000000000007"/>
    <n v="20"/>
    <n v="2.67"/>
    <x v="0"/>
  </r>
  <r>
    <x v="0"/>
    <s v="碧南市"/>
    <x v="26"/>
    <x v="11"/>
    <n v="176"/>
    <n v="9.89"/>
    <n v="147"/>
    <n v="14.41"/>
    <n v="28"/>
    <n v="3.74"/>
    <x v="0"/>
  </r>
  <r>
    <x v="0"/>
    <s v="碧南市"/>
    <x v="26"/>
    <x v="12"/>
    <n v="81"/>
    <n v="4.55"/>
    <n v="62"/>
    <n v="6.08"/>
    <n v="13"/>
    <n v="1.74"/>
    <x v="0"/>
  </r>
  <r>
    <x v="0"/>
    <s v="碧南市"/>
    <x v="26"/>
    <x v="13"/>
    <n v="88"/>
    <n v="4.9400000000000004"/>
    <n v="56"/>
    <n v="5.49"/>
    <n v="31"/>
    <n v="4.1399999999999997"/>
    <x v="0"/>
  </r>
  <r>
    <x v="0"/>
    <s v="碧南市"/>
    <x v="26"/>
    <x v="14"/>
    <n v="62"/>
    <n v="3.48"/>
    <n v="32"/>
    <n v="3.14"/>
    <n v="29"/>
    <n v="3.88"/>
    <x v="0"/>
  </r>
  <r>
    <x v="0"/>
    <s v="刈谷市"/>
    <x v="27"/>
    <x v="0"/>
    <n v="0"/>
    <n v="0"/>
    <n v="0"/>
    <n v="0"/>
    <n v="0"/>
    <n v="0"/>
    <x v="0"/>
  </r>
  <r>
    <x v="0"/>
    <s v="刈谷市"/>
    <x v="27"/>
    <x v="1"/>
    <n v="306"/>
    <n v="11.53"/>
    <n v="70"/>
    <n v="5.93"/>
    <n v="236"/>
    <n v="16.05"/>
    <x v="0"/>
  </r>
  <r>
    <x v="0"/>
    <s v="刈谷市"/>
    <x v="27"/>
    <x v="2"/>
    <n v="321"/>
    <n v="12.09"/>
    <n v="80"/>
    <n v="6.78"/>
    <n v="241"/>
    <n v="16.39"/>
    <x v="0"/>
  </r>
  <r>
    <x v="0"/>
    <s v="刈谷市"/>
    <x v="27"/>
    <x v="3"/>
    <n v="2"/>
    <n v="0.08"/>
    <n v="0"/>
    <n v="0"/>
    <n v="2"/>
    <n v="0.14000000000000001"/>
    <x v="0"/>
  </r>
  <r>
    <x v="0"/>
    <s v="刈谷市"/>
    <x v="27"/>
    <x v="4"/>
    <n v="24"/>
    <n v="0.9"/>
    <n v="1"/>
    <n v="0.08"/>
    <n v="23"/>
    <n v="1.56"/>
    <x v="0"/>
  </r>
  <r>
    <x v="0"/>
    <s v="刈谷市"/>
    <x v="27"/>
    <x v="5"/>
    <n v="17"/>
    <n v="0.64"/>
    <n v="1"/>
    <n v="0.08"/>
    <n v="16"/>
    <n v="1.0900000000000001"/>
    <x v="0"/>
  </r>
  <r>
    <x v="0"/>
    <s v="刈谷市"/>
    <x v="27"/>
    <x v="6"/>
    <n v="544"/>
    <n v="20.49"/>
    <n v="214"/>
    <n v="18.14"/>
    <n v="330"/>
    <n v="22.45"/>
    <x v="0"/>
  </r>
  <r>
    <x v="0"/>
    <s v="刈谷市"/>
    <x v="27"/>
    <x v="7"/>
    <n v="17"/>
    <n v="0.64"/>
    <n v="3"/>
    <n v="0.25"/>
    <n v="14"/>
    <n v="0.95"/>
    <x v="0"/>
  </r>
  <r>
    <x v="0"/>
    <s v="刈谷市"/>
    <x v="27"/>
    <x v="8"/>
    <n v="275"/>
    <n v="10.36"/>
    <n v="83"/>
    <n v="7.03"/>
    <n v="192"/>
    <n v="13.06"/>
    <x v="0"/>
  </r>
  <r>
    <x v="0"/>
    <s v="刈谷市"/>
    <x v="27"/>
    <x v="9"/>
    <n v="140"/>
    <n v="5.27"/>
    <n v="66"/>
    <n v="5.59"/>
    <n v="74"/>
    <n v="5.03"/>
    <x v="0"/>
  </r>
  <r>
    <x v="0"/>
    <s v="刈谷市"/>
    <x v="27"/>
    <x v="10"/>
    <n v="344"/>
    <n v="12.96"/>
    <n v="247"/>
    <n v="20.93"/>
    <n v="96"/>
    <n v="6.53"/>
    <x v="0"/>
  </r>
  <r>
    <x v="0"/>
    <s v="刈谷市"/>
    <x v="27"/>
    <x v="11"/>
    <n v="314"/>
    <n v="11.83"/>
    <n v="226"/>
    <n v="19.149999999999999"/>
    <n v="88"/>
    <n v="5.99"/>
    <x v="0"/>
  </r>
  <r>
    <x v="0"/>
    <s v="刈谷市"/>
    <x v="27"/>
    <x v="12"/>
    <n v="120"/>
    <n v="4.5199999999999996"/>
    <n v="85"/>
    <n v="7.2"/>
    <n v="31"/>
    <n v="2.11"/>
    <x v="6"/>
  </r>
  <r>
    <x v="0"/>
    <s v="刈谷市"/>
    <x v="27"/>
    <x v="13"/>
    <n v="117"/>
    <n v="4.41"/>
    <n v="72"/>
    <n v="6.1"/>
    <n v="45"/>
    <n v="3.06"/>
    <x v="0"/>
  </r>
  <r>
    <x v="0"/>
    <s v="刈谷市"/>
    <x v="27"/>
    <x v="14"/>
    <n v="114"/>
    <n v="4.29"/>
    <n v="32"/>
    <n v="2.71"/>
    <n v="82"/>
    <n v="5.58"/>
    <x v="0"/>
  </r>
  <r>
    <x v="0"/>
    <s v="豊田市"/>
    <x v="28"/>
    <x v="0"/>
    <n v="1"/>
    <n v="0.01"/>
    <n v="0"/>
    <n v="0"/>
    <n v="1"/>
    <n v="0.03"/>
    <x v="0"/>
  </r>
  <r>
    <x v="0"/>
    <s v="豊田市"/>
    <x v="28"/>
    <x v="1"/>
    <n v="1037"/>
    <n v="15.29"/>
    <n v="287"/>
    <n v="8.84"/>
    <n v="750"/>
    <n v="21.44"/>
    <x v="0"/>
  </r>
  <r>
    <x v="0"/>
    <s v="豊田市"/>
    <x v="28"/>
    <x v="2"/>
    <n v="727"/>
    <n v="10.72"/>
    <n v="157"/>
    <n v="4.84"/>
    <n v="569"/>
    <n v="16.27"/>
    <x v="6"/>
  </r>
  <r>
    <x v="0"/>
    <s v="豊田市"/>
    <x v="28"/>
    <x v="3"/>
    <n v="15"/>
    <n v="0.22"/>
    <n v="1"/>
    <n v="0.03"/>
    <n v="12"/>
    <n v="0.34"/>
    <x v="0"/>
  </r>
  <r>
    <x v="0"/>
    <s v="豊田市"/>
    <x v="28"/>
    <x v="4"/>
    <n v="52"/>
    <n v="0.77"/>
    <n v="3"/>
    <n v="0.09"/>
    <n v="48"/>
    <n v="1.37"/>
    <x v="6"/>
  </r>
  <r>
    <x v="0"/>
    <s v="豊田市"/>
    <x v="28"/>
    <x v="5"/>
    <n v="60"/>
    <n v="0.88"/>
    <n v="5"/>
    <n v="0.15"/>
    <n v="53"/>
    <n v="1.52"/>
    <x v="14"/>
  </r>
  <r>
    <x v="0"/>
    <s v="豊田市"/>
    <x v="28"/>
    <x v="6"/>
    <n v="1297"/>
    <n v="19.13"/>
    <n v="572"/>
    <n v="17.62"/>
    <n v="725"/>
    <n v="20.73"/>
    <x v="0"/>
  </r>
  <r>
    <x v="0"/>
    <s v="豊田市"/>
    <x v="28"/>
    <x v="7"/>
    <n v="31"/>
    <n v="0.46"/>
    <n v="4"/>
    <n v="0.12"/>
    <n v="27"/>
    <n v="0.77"/>
    <x v="0"/>
  </r>
  <r>
    <x v="0"/>
    <s v="豊田市"/>
    <x v="28"/>
    <x v="8"/>
    <n v="637"/>
    <n v="9.4"/>
    <n v="210"/>
    <n v="6.47"/>
    <n v="426"/>
    <n v="12.18"/>
    <x v="6"/>
  </r>
  <r>
    <x v="0"/>
    <s v="豊田市"/>
    <x v="28"/>
    <x v="9"/>
    <n v="349"/>
    <n v="5.15"/>
    <n v="189"/>
    <n v="5.82"/>
    <n v="157"/>
    <n v="4.49"/>
    <x v="0"/>
  </r>
  <r>
    <x v="0"/>
    <s v="豊田市"/>
    <x v="28"/>
    <x v="10"/>
    <n v="856"/>
    <n v="12.63"/>
    <n v="656"/>
    <n v="20.2"/>
    <n v="194"/>
    <n v="5.55"/>
    <x v="6"/>
  </r>
  <r>
    <x v="0"/>
    <s v="豊田市"/>
    <x v="28"/>
    <x v="11"/>
    <n v="901"/>
    <n v="13.29"/>
    <n v="691"/>
    <n v="21.28"/>
    <n v="207"/>
    <n v="5.92"/>
    <x v="0"/>
  </r>
  <r>
    <x v="0"/>
    <s v="豊田市"/>
    <x v="28"/>
    <x v="12"/>
    <n v="307"/>
    <n v="4.53"/>
    <n v="211"/>
    <n v="6.5"/>
    <n v="89"/>
    <n v="2.54"/>
    <x v="15"/>
  </r>
  <r>
    <x v="0"/>
    <s v="豊田市"/>
    <x v="28"/>
    <x v="13"/>
    <n v="259"/>
    <n v="3.82"/>
    <n v="183"/>
    <n v="5.64"/>
    <n v="75"/>
    <n v="2.14"/>
    <x v="0"/>
  </r>
  <r>
    <x v="0"/>
    <s v="豊田市"/>
    <x v="28"/>
    <x v="14"/>
    <n v="251"/>
    <n v="3.7"/>
    <n v="78"/>
    <n v="2.4"/>
    <n v="165"/>
    <n v="4.72"/>
    <x v="2"/>
  </r>
  <r>
    <x v="0"/>
    <s v="安城市"/>
    <x v="29"/>
    <x v="0"/>
    <n v="3"/>
    <n v="0.09"/>
    <n v="0"/>
    <n v="0"/>
    <n v="3"/>
    <n v="0.18"/>
    <x v="0"/>
  </r>
  <r>
    <x v="0"/>
    <s v="安城市"/>
    <x v="29"/>
    <x v="1"/>
    <n v="421"/>
    <n v="12.25"/>
    <n v="146"/>
    <n v="8.11"/>
    <n v="275"/>
    <n v="16.89"/>
    <x v="0"/>
  </r>
  <r>
    <x v="0"/>
    <s v="安城市"/>
    <x v="29"/>
    <x v="2"/>
    <n v="444"/>
    <n v="12.91"/>
    <n v="134"/>
    <n v="7.44"/>
    <n v="310"/>
    <n v="19.04"/>
    <x v="0"/>
  </r>
  <r>
    <x v="0"/>
    <s v="安城市"/>
    <x v="29"/>
    <x v="3"/>
    <n v="4"/>
    <n v="0.12"/>
    <n v="0"/>
    <n v="0"/>
    <n v="4"/>
    <n v="0.25"/>
    <x v="0"/>
  </r>
  <r>
    <x v="0"/>
    <s v="安城市"/>
    <x v="29"/>
    <x v="4"/>
    <n v="19"/>
    <n v="0.55000000000000004"/>
    <n v="0"/>
    <n v="0"/>
    <n v="19"/>
    <n v="1.17"/>
    <x v="0"/>
  </r>
  <r>
    <x v="0"/>
    <s v="安城市"/>
    <x v="29"/>
    <x v="5"/>
    <n v="36"/>
    <n v="1.05"/>
    <n v="5"/>
    <n v="0.28000000000000003"/>
    <n v="31"/>
    <n v="1.9"/>
    <x v="0"/>
  </r>
  <r>
    <x v="0"/>
    <s v="安城市"/>
    <x v="29"/>
    <x v="6"/>
    <n v="687"/>
    <n v="19.98"/>
    <n v="325"/>
    <n v="18.05"/>
    <n v="362"/>
    <n v="22.24"/>
    <x v="0"/>
  </r>
  <r>
    <x v="0"/>
    <s v="安城市"/>
    <x v="29"/>
    <x v="7"/>
    <n v="10"/>
    <n v="0.28999999999999998"/>
    <n v="0"/>
    <n v="0"/>
    <n v="10"/>
    <n v="0.61"/>
    <x v="0"/>
  </r>
  <r>
    <x v="0"/>
    <s v="安城市"/>
    <x v="29"/>
    <x v="8"/>
    <n v="436"/>
    <n v="12.68"/>
    <n v="215"/>
    <n v="11.94"/>
    <n v="221"/>
    <n v="13.57"/>
    <x v="0"/>
  </r>
  <r>
    <x v="0"/>
    <s v="安城市"/>
    <x v="29"/>
    <x v="9"/>
    <n v="153"/>
    <n v="4.45"/>
    <n v="83"/>
    <n v="4.6100000000000003"/>
    <n v="69"/>
    <n v="4.24"/>
    <x v="0"/>
  </r>
  <r>
    <x v="0"/>
    <s v="安城市"/>
    <x v="29"/>
    <x v="10"/>
    <n v="351"/>
    <n v="10.210000000000001"/>
    <n v="288"/>
    <n v="15.99"/>
    <n v="62"/>
    <n v="3.81"/>
    <x v="0"/>
  </r>
  <r>
    <x v="0"/>
    <s v="安城市"/>
    <x v="29"/>
    <x v="11"/>
    <n v="415"/>
    <n v="12.07"/>
    <n v="309"/>
    <n v="17.16"/>
    <n v="105"/>
    <n v="6.45"/>
    <x v="6"/>
  </r>
  <r>
    <x v="0"/>
    <s v="安城市"/>
    <x v="29"/>
    <x v="12"/>
    <n v="199"/>
    <n v="5.79"/>
    <n v="156"/>
    <n v="8.66"/>
    <n v="42"/>
    <n v="2.58"/>
    <x v="0"/>
  </r>
  <r>
    <x v="0"/>
    <s v="安城市"/>
    <x v="29"/>
    <x v="13"/>
    <n v="144"/>
    <n v="4.1900000000000004"/>
    <n v="99"/>
    <n v="5.5"/>
    <n v="43"/>
    <n v="2.64"/>
    <x v="0"/>
  </r>
  <r>
    <x v="0"/>
    <s v="安城市"/>
    <x v="29"/>
    <x v="14"/>
    <n v="116"/>
    <n v="3.37"/>
    <n v="41"/>
    <n v="2.2799999999999998"/>
    <n v="72"/>
    <n v="4.42"/>
    <x v="6"/>
  </r>
  <r>
    <x v="0"/>
    <s v="西尾市"/>
    <x v="30"/>
    <x v="0"/>
    <n v="0"/>
    <n v="0"/>
    <n v="0"/>
    <n v="0"/>
    <n v="0"/>
    <n v="0"/>
    <x v="0"/>
  </r>
  <r>
    <x v="0"/>
    <s v="西尾市"/>
    <x v="30"/>
    <x v="1"/>
    <n v="654"/>
    <n v="16.760000000000002"/>
    <n v="317"/>
    <n v="13.57"/>
    <n v="337"/>
    <n v="22.26"/>
    <x v="0"/>
  </r>
  <r>
    <x v="0"/>
    <s v="西尾市"/>
    <x v="30"/>
    <x v="2"/>
    <n v="668"/>
    <n v="17.12"/>
    <n v="334"/>
    <n v="14.3"/>
    <n v="334"/>
    <n v="22.06"/>
    <x v="0"/>
  </r>
  <r>
    <x v="0"/>
    <s v="西尾市"/>
    <x v="30"/>
    <x v="3"/>
    <n v="6"/>
    <n v="0.15"/>
    <n v="0"/>
    <n v="0"/>
    <n v="6"/>
    <n v="0.4"/>
    <x v="0"/>
  </r>
  <r>
    <x v="0"/>
    <s v="西尾市"/>
    <x v="30"/>
    <x v="4"/>
    <n v="13"/>
    <n v="0.33"/>
    <n v="2"/>
    <n v="0.09"/>
    <n v="11"/>
    <n v="0.73"/>
    <x v="0"/>
  </r>
  <r>
    <x v="0"/>
    <s v="西尾市"/>
    <x v="30"/>
    <x v="5"/>
    <n v="45"/>
    <n v="1.1499999999999999"/>
    <n v="23"/>
    <n v="0.98"/>
    <n v="17"/>
    <n v="1.1200000000000001"/>
    <x v="6"/>
  </r>
  <r>
    <x v="0"/>
    <s v="西尾市"/>
    <x v="30"/>
    <x v="6"/>
    <n v="919"/>
    <n v="23.56"/>
    <n v="540"/>
    <n v="23.12"/>
    <n v="378"/>
    <n v="24.97"/>
    <x v="6"/>
  </r>
  <r>
    <x v="0"/>
    <s v="西尾市"/>
    <x v="30"/>
    <x v="7"/>
    <n v="20"/>
    <n v="0.51"/>
    <n v="3"/>
    <n v="0.13"/>
    <n v="17"/>
    <n v="1.1200000000000001"/>
    <x v="0"/>
  </r>
  <r>
    <x v="0"/>
    <s v="西尾市"/>
    <x v="30"/>
    <x v="8"/>
    <n v="198"/>
    <n v="5.08"/>
    <n v="74"/>
    <n v="3.17"/>
    <n v="123"/>
    <n v="8.1199999999999992"/>
    <x v="6"/>
  </r>
  <r>
    <x v="0"/>
    <s v="西尾市"/>
    <x v="30"/>
    <x v="9"/>
    <n v="170"/>
    <n v="4.3600000000000003"/>
    <n v="102"/>
    <n v="4.37"/>
    <n v="68"/>
    <n v="4.49"/>
    <x v="0"/>
  </r>
  <r>
    <x v="0"/>
    <s v="西尾市"/>
    <x v="30"/>
    <x v="10"/>
    <n v="312"/>
    <n v="8"/>
    <n v="264"/>
    <n v="11.3"/>
    <n v="46"/>
    <n v="3.04"/>
    <x v="0"/>
  </r>
  <r>
    <x v="0"/>
    <s v="西尾市"/>
    <x v="30"/>
    <x v="11"/>
    <n v="451"/>
    <n v="11.56"/>
    <n v="377"/>
    <n v="16.14"/>
    <n v="69"/>
    <n v="4.5599999999999996"/>
    <x v="14"/>
  </r>
  <r>
    <x v="0"/>
    <s v="西尾市"/>
    <x v="30"/>
    <x v="12"/>
    <n v="175"/>
    <n v="4.49"/>
    <n v="133"/>
    <n v="5.69"/>
    <n v="31"/>
    <n v="2.0499999999999998"/>
    <x v="6"/>
  </r>
  <r>
    <x v="0"/>
    <s v="西尾市"/>
    <x v="30"/>
    <x v="13"/>
    <n v="174"/>
    <n v="4.46"/>
    <n v="126"/>
    <n v="5.39"/>
    <n v="28"/>
    <n v="1.85"/>
    <x v="0"/>
  </r>
  <r>
    <x v="0"/>
    <s v="西尾市"/>
    <x v="30"/>
    <x v="14"/>
    <n v="96"/>
    <n v="2.46"/>
    <n v="41"/>
    <n v="1.76"/>
    <n v="49"/>
    <n v="3.24"/>
    <x v="6"/>
  </r>
  <r>
    <x v="0"/>
    <s v="蒲郡市"/>
    <x v="31"/>
    <x v="0"/>
    <n v="1"/>
    <n v="0.05"/>
    <n v="0"/>
    <n v="0"/>
    <n v="1"/>
    <n v="0.11"/>
    <x v="0"/>
  </r>
  <r>
    <x v="0"/>
    <s v="蒲郡市"/>
    <x v="31"/>
    <x v="1"/>
    <n v="240"/>
    <n v="11.3"/>
    <n v="77"/>
    <n v="6.68"/>
    <n v="163"/>
    <n v="17.29"/>
    <x v="0"/>
  </r>
  <r>
    <x v="0"/>
    <s v="蒲郡市"/>
    <x v="31"/>
    <x v="2"/>
    <n v="430"/>
    <n v="20.239999999999998"/>
    <n v="200"/>
    <n v="17.36"/>
    <n v="230"/>
    <n v="24.39"/>
    <x v="0"/>
  </r>
  <r>
    <x v="0"/>
    <s v="蒲郡市"/>
    <x v="31"/>
    <x v="3"/>
    <n v="3"/>
    <n v="0.14000000000000001"/>
    <n v="0"/>
    <n v="0"/>
    <n v="2"/>
    <n v="0.21"/>
    <x v="0"/>
  </r>
  <r>
    <x v="0"/>
    <s v="蒲郡市"/>
    <x v="31"/>
    <x v="4"/>
    <n v="13"/>
    <n v="0.61"/>
    <n v="0"/>
    <n v="0"/>
    <n v="13"/>
    <n v="1.38"/>
    <x v="0"/>
  </r>
  <r>
    <x v="0"/>
    <s v="蒲郡市"/>
    <x v="31"/>
    <x v="5"/>
    <n v="14"/>
    <n v="0.66"/>
    <n v="4"/>
    <n v="0.35"/>
    <n v="9"/>
    <n v="0.95"/>
    <x v="6"/>
  </r>
  <r>
    <x v="0"/>
    <s v="蒲郡市"/>
    <x v="31"/>
    <x v="6"/>
    <n v="515"/>
    <n v="24.25"/>
    <n v="279"/>
    <n v="24.22"/>
    <n v="236"/>
    <n v="25.03"/>
    <x v="0"/>
  </r>
  <r>
    <x v="0"/>
    <s v="蒲郡市"/>
    <x v="31"/>
    <x v="7"/>
    <n v="14"/>
    <n v="0.66"/>
    <n v="2"/>
    <n v="0.17"/>
    <n v="12"/>
    <n v="1.27"/>
    <x v="0"/>
  </r>
  <r>
    <x v="0"/>
    <s v="蒲郡市"/>
    <x v="31"/>
    <x v="8"/>
    <n v="177"/>
    <n v="8.33"/>
    <n v="71"/>
    <n v="6.16"/>
    <n v="106"/>
    <n v="11.24"/>
    <x v="0"/>
  </r>
  <r>
    <x v="0"/>
    <s v="蒲郡市"/>
    <x v="31"/>
    <x v="9"/>
    <n v="83"/>
    <n v="3.91"/>
    <n v="50"/>
    <n v="4.34"/>
    <n v="33"/>
    <n v="3.5"/>
    <x v="0"/>
  </r>
  <r>
    <x v="0"/>
    <s v="蒲郡市"/>
    <x v="31"/>
    <x v="10"/>
    <n v="221"/>
    <n v="10.4"/>
    <n v="184"/>
    <n v="15.97"/>
    <n v="36"/>
    <n v="3.82"/>
    <x v="0"/>
  </r>
  <r>
    <x v="0"/>
    <s v="蒲郡市"/>
    <x v="31"/>
    <x v="11"/>
    <n v="208"/>
    <n v="9.7899999999999991"/>
    <n v="174"/>
    <n v="15.1"/>
    <n v="34"/>
    <n v="3.61"/>
    <x v="0"/>
  </r>
  <r>
    <x v="0"/>
    <s v="蒲郡市"/>
    <x v="31"/>
    <x v="12"/>
    <n v="77"/>
    <n v="3.63"/>
    <n v="48"/>
    <n v="4.17"/>
    <n v="16"/>
    <n v="1.7"/>
    <x v="18"/>
  </r>
  <r>
    <x v="0"/>
    <s v="蒲郡市"/>
    <x v="31"/>
    <x v="13"/>
    <n v="77"/>
    <n v="3.63"/>
    <n v="47"/>
    <n v="4.08"/>
    <n v="21"/>
    <n v="2.23"/>
    <x v="0"/>
  </r>
  <r>
    <x v="0"/>
    <s v="蒲郡市"/>
    <x v="31"/>
    <x v="14"/>
    <n v="51"/>
    <n v="2.4"/>
    <n v="16"/>
    <n v="1.39"/>
    <n v="31"/>
    <n v="3.29"/>
    <x v="0"/>
  </r>
  <r>
    <x v="0"/>
    <s v="犬山市"/>
    <x v="32"/>
    <x v="0"/>
    <n v="0"/>
    <n v="0"/>
    <n v="0"/>
    <n v="0"/>
    <n v="0"/>
    <n v="0"/>
    <x v="0"/>
  </r>
  <r>
    <x v="0"/>
    <s v="犬山市"/>
    <x v="32"/>
    <x v="1"/>
    <n v="191"/>
    <n v="13.64"/>
    <n v="54"/>
    <n v="7.74"/>
    <n v="137"/>
    <n v="20"/>
    <x v="0"/>
  </r>
  <r>
    <x v="0"/>
    <s v="犬山市"/>
    <x v="32"/>
    <x v="2"/>
    <n v="193"/>
    <n v="13.79"/>
    <n v="63"/>
    <n v="9.0299999999999994"/>
    <n v="130"/>
    <n v="18.98"/>
    <x v="0"/>
  </r>
  <r>
    <x v="0"/>
    <s v="犬山市"/>
    <x v="32"/>
    <x v="3"/>
    <n v="1"/>
    <n v="7.0000000000000007E-2"/>
    <n v="0"/>
    <n v="0"/>
    <n v="1"/>
    <n v="0.15"/>
    <x v="0"/>
  </r>
  <r>
    <x v="0"/>
    <s v="犬山市"/>
    <x v="32"/>
    <x v="4"/>
    <n v="12"/>
    <n v="0.86"/>
    <n v="1"/>
    <n v="0.14000000000000001"/>
    <n v="11"/>
    <n v="1.61"/>
    <x v="0"/>
  </r>
  <r>
    <x v="0"/>
    <s v="犬山市"/>
    <x v="32"/>
    <x v="5"/>
    <n v="15"/>
    <n v="1.07"/>
    <n v="3"/>
    <n v="0.43"/>
    <n v="12"/>
    <n v="1.75"/>
    <x v="0"/>
  </r>
  <r>
    <x v="0"/>
    <s v="犬山市"/>
    <x v="32"/>
    <x v="6"/>
    <n v="279"/>
    <n v="19.93"/>
    <n v="133"/>
    <n v="19.05"/>
    <n v="146"/>
    <n v="21.31"/>
    <x v="0"/>
  </r>
  <r>
    <x v="0"/>
    <s v="犬山市"/>
    <x v="32"/>
    <x v="7"/>
    <n v="14"/>
    <n v="1"/>
    <n v="1"/>
    <n v="0.14000000000000001"/>
    <n v="13"/>
    <n v="1.9"/>
    <x v="0"/>
  </r>
  <r>
    <x v="0"/>
    <s v="犬山市"/>
    <x v="32"/>
    <x v="8"/>
    <n v="81"/>
    <n v="5.79"/>
    <n v="22"/>
    <n v="3.15"/>
    <n v="59"/>
    <n v="8.61"/>
    <x v="0"/>
  </r>
  <r>
    <x v="0"/>
    <s v="犬山市"/>
    <x v="32"/>
    <x v="9"/>
    <n v="81"/>
    <n v="5.79"/>
    <n v="50"/>
    <n v="7.16"/>
    <n v="31"/>
    <n v="4.53"/>
    <x v="0"/>
  </r>
  <r>
    <x v="0"/>
    <s v="犬山市"/>
    <x v="32"/>
    <x v="10"/>
    <n v="185"/>
    <n v="13.21"/>
    <n v="140"/>
    <n v="20.059999999999999"/>
    <n v="43"/>
    <n v="6.28"/>
    <x v="6"/>
  </r>
  <r>
    <x v="0"/>
    <s v="犬山市"/>
    <x v="32"/>
    <x v="11"/>
    <n v="150"/>
    <n v="10.71"/>
    <n v="114"/>
    <n v="16.329999999999998"/>
    <n v="34"/>
    <n v="4.96"/>
    <x v="6"/>
  </r>
  <r>
    <x v="0"/>
    <s v="犬山市"/>
    <x v="32"/>
    <x v="12"/>
    <n v="75"/>
    <n v="5.36"/>
    <n v="50"/>
    <n v="7.16"/>
    <n v="22"/>
    <n v="3.21"/>
    <x v="0"/>
  </r>
  <r>
    <x v="0"/>
    <s v="犬山市"/>
    <x v="32"/>
    <x v="13"/>
    <n v="74"/>
    <n v="5.29"/>
    <n v="47"/>
    <n v="6.73"/>
    <n v="21"/>
    <n v="3.07"/>
    <x v="0"/>
  </r>
  <r>
    <x v="0"/>
    <s v="犬山市"/>
    <x v="32"/>
    <x v="14"/>
    <n v="49"/>
    <n v="3.5"/>
    <n v="20"/>
    <n v="2.87"/>
    <n v="25"/>
    <n v="3.65"/>
    <x v="15"/>
  </r>
  <r>
    <x v="0"/>
    <s v="常滑市"/>
    <x v="33"/>
    <x v="0"/>
    <n v="0"/>
    <n v="0"/>
    <n v="0"/>
    <n v="0"/>
    <n v="0"/>
    <n v="0"/>
    <x v="0"/>
  </r>
  <r>
    <x v="0"/>
    <s v="常滑市"/>
    <x v="33"/>
    <x v="1"/>
    <n v="183"/>
    <n v="12.72"/>
    <n v="56"/>
    <n v="7.46"/>
    <n v="127"/>
    <n v="18.7"/>
    <x v="0"/>
  </r>
  <r>
    <x v="0"/>
    <s v="常滑市"/>
    <x v="33"/>
    <x v="2"/>
    <n v="217"/>
    <n v="15.08"/>
    <n v="97"/>
    <n v="12.92"/>
    <n v="120"/>
    <n v="17.670000000000002"/>
    <x v="0"/>
  </r>
  <r>
    <x v="0"/>
    <s v="常滑市"/>
    <x v="33"/>
    <x v="3"/>
    <n v="5"/>
    <n v="0.35"/>
    <n v="0"/>
    <n v="0"/>
    <n v="4"/>
    <n v="0.59"/>
    <x v="0"/>
  </r>
  <r>
    <x v="0"/>
    <s v="常滑市"/>
    <x v="33"/>
    <x v="4"/>
    <n v="20"/>
    <n v="1.39"/>
    <n v="2"/>
    <n v="0.27"/>
    <n v="18"/>
    <n v="2.65"/>
    <x v="0"/>
  </r>
  <r>
    <x v="0"/>
    <s v="常滑市"/>
    <x v="33"/>
    <x v="5"/>
    <n v="48"/>
    <n v="3.34"/>
    <n v="1"/>
    <n v="0.13"/>
    <n v="46"/>
    <n v="6.77"/>
    <x v="6"/>
  </r>
  <r>
    <x v="0"/>
    <s v="常滑市"/>
    <x v="33"/>
    <x v="6"/>
    <n v="339"/>
    <n v="23.56"/>
    <n v="175"/>
    <n v="23.3"/>
    <n v="164"/>
    <n v="24.15"/>
    <x v="0"/>
  </r>
  <r>
    <x v="0"/>
    <s v="常滑市"/>
    <x v="33"/>
    <x v="7"/>
    <n v="10"/>
    <n v="0.69"/>
    <n v="4"/>
    <n v="0.53"/>
    <n v="6"/>
    <n v="0.88"/>
    <x v="0"/>
  </r>
  <r>
    <x v="0"/>
    <s v="常滑市"/>
    <x v="33"/>
    <x v="8"/>
    <n v="83"/>
    <n v="5.77"/>
    <n v="37"/>
    <n v="4.93"/>
    <n v="46"/>
    <n v="6.77"/>
    <x v="0"/>
  </r>
  <r>
    <x v="0"/>
    <s v="常滑市"/>
    <x v="33"/>
    <x v="9"/>
    <n v="70"/>
    <n v="4.8600000000000003"/>
    <n v="50"/>
    <n v="6.66"/>
    <n v="20"/>
    <n v="2.95"/>
    <x v="0"/>
  </r>
  <r>
    <x v="0"/>
    <s v="常滑市"/>
    <x v="33"/>
    <x v="10"/>
    <n v="143"/>
    <n v="9.94"/>
    <n v="103"/>
    <n v="13.72"/>
    <n v="40"/>
    <n v="5.89"/>
    <x v="0"/>
  </r>
  <r>
    <x v="0"/>
    <s v="常滑市"/>
    <x v="33"/>
    <x v="11"/>
    <n v="158"/>
    <n v="10.98"/>
    <n v="127"/>
    <n v="16.91"/>
    <n v="31"/>
    <n v="4.57"/>
    <x v="0"/>
  </r>
  <r>
    <x v="0"/>
    <s v="常滑市"/>
    <x v="33"/>
    <x v="12"/>
    <n v="68"/>
    <n v="4.7300000000000004"/>
    <n v="57"/>
    <n v="7.59"/>
    <n v="11"/>
    <n v="1.62"/>
    <x v="0"/>
  </r>
  <r>
    <x v="0"/>
    <s v="常滑市"/>
    <x v="33"/>
    <x v="13"/>
    <n v="54"/>
    <n v="3.75"/>
    <n v="26"/>
    <n v="3.46"/>
    <n v="22"/>
    <n v="3.24"/>
    <x v="0"/>
  </r>
  <r>
    <x v="0"/>
    <s v="常滑市"/>
    <x v="33"/>
    <x v="14"/>
    <n v="41"/>
    <n v="2.85"/>
    <n v="16"/>
    <n v="2.13"/>
    <n v="24"/>
    <n v="3.53"/>
    <x v="6"/>
  </r>
  <r>
    <x v="0"/>
    <s v="江南市"/>
    <x v="34"/>
    <x v="0"/>
    <n v="0"/>
    <n v="0"/>
    <n v="0"/>
    <n v="0"/>
    <n v="0"/>
    <n v="0"/>
    <x v="0"/>
  </r>
  <r>
    <x v="0"/>
    <s v="江南市"/>
    <x v="34"/>
    <x v="1"/>
    <n v="259"/>
    <n v="14.04"/>
    <n v="78"/>
    <n v="8.02"/>
    <n v="181"/>
    <n v="21.02"/>
    <x v="0"/>
  </r>
  <r>
    <x v="0"/>
    <s v="江南市"/>
    <x v="34"/>
    <x v="2"/>
    <n v="268"/>
    <n v="14.53"/>
    <n v="97"/>
    <n v="9.98"/>
    <n v="171"/>
    <n v="19.86"/>
    <x v="0"/>
  </r>
  <r>
    <x v="0"/>
    <s v="江南市"/>
    <x v="34"/>
    <x v="3"/>
    <n v="5"/>
    <n v="0.27"/>
    <n v="0"/>
    <n v="0"/>
    <n v="5"/>
    <n v="0.57999999999999996"/>
    <x v="0"/>
  </r>
  <r>
    <x v="0"/>
    <s v="江南市"/>
    <x v="34"/>
    <x v="4"/>
    <n v="11"/>
    <n v="0.6"/>
    <n v="2"/>
    <n v="0.21"/>
    <n v="9"/>
    <n v="1.05"/>
    <x v="0"/>
  </r>
  <r>
    <x v="0"/>
    <s v="江南市"/>
    <x v="34"/>
    <x v="5"/>
    <n v="11"/>
    <n v="0.6"/>
    <n v="2"/>
    <n v="0.21"/>
    <n v="9"/>
    <n v="1.05"/>
    <x v="0"/>
  </r>
  <r>
    <x v="0"/>
    <s v="江南市"/>
    <x v="34"/>
    <x v="6"/>
    <n v="354"/>
    <n v="19.190000000000001"/>
    <n v="162"/>
    <n v="16.670000000000002"/>
    <n v="192"/>
    <n v="22.3"/>
    <x v="0"/>
  </r>
  <r>
    <x v="0"/>
    <s v="江南市"/>
    <x v="34"/>
    <x v="7"/>
    <n v="9"/>
    <n v="0.49"/>
    <n v="0"/>
    <n v="0"/>
    <n v="9"/>
    <n v="1.05"/>
    <x v="0"/>
  </r>
  <r>
    <x v="0"/>
    <s v="江南市"/>
    <x v="34"/>
    <x v="8"/>
    <n v="113"/>
    <n v="6.12"/>
    <n v="24"/>
    <n v="2.4700000000000002"/>
    <n v="88"/>
    <n v="10.220000000000001"/>
    <x v="6"/>
  </r>
  <r>
    <x v="0"/>
    <s v="江南市"/>
    <x v="34"/>
    <x v="9"/>
    <n v="90"/>
    <n v="4.88"/>
    <n v="53"/>
    <n v="5.45"/>
    <n v="37"/>
    <n v="4.3"/>
    <x v="0"/>
  </r>
  <r>
    <x v="0"/>
    <s v="江南市"/>
    <x v="34"/>
    <x v="10"/>
    <n v="219"/>
    <n v="11.87"/>
    <n v="188"/>
    <n v="19.34"/>
    <n v="31"/>
    <n v="3.6"/>
    <x v="0"/>
  </r>
  <r>
    <x v="0"/>
    <s v="江南市"/>
    <x v="34"/>
    <x v="11"/>
    <n v="239"/>
    <n v="12.95"/>
    <n v="186"/>
    <n v="19.14"/>
    <n v="52"/>
    <n v="6.04"/>
    <x v="0"/>
  </r>
  <r>
    <x v="0"/>
    <s v="江南市"/>
    <x v="34"/>
    <x v="12"/>
    <n v="110"/>
    <n v="5.96"/>
    <n v="82"/>
    <n v="8.44"/>
    <n v="24"/>
    <n v="2.79"/>
    <x v="0"/>
  </r>
  <r>
    <x v="0"/>
    <s v="江南市"/>
    <x v="34"/>
    <x v="13"/>
    <n v="100"/>
    <n v="5.42"/>
    <n v="76"/>
    <n v="7.82"/>
    <n v="18"/>
    <n v="2.09"/>
    <x v="0"/>
  </r>
  <r>
    <x v="0"/>
    <s v="江南市"/>
    <x v="34"/>
    <x v="14"/>
    <n v="57"/>
    <n v="3.09"/>
    <n v="22"/>
    <n v="2.2599999999999998"/>
    <n v="35"/>
    <n v="4.07"/>
    <x v="0"/>
  </r>
  <r>
    <x v="0"/>
    <s v="小牧市"/>
    <x v="35"/>
    <x v="0"/>
    <n v="0"/>
    <n v="0"/>
    <n v="0"/>
    <n v="0"/>
    <n v="0"/>
    <n v="0"/>
    <x v="0"/>
  </r>
  <r>
    <x v="0"/>
    <s v="小牧市"/>
    <x v="35"/>
    <x v="1"/>
    <n v="414"/>
    <n v="13.6"/>
    <n v="62"/>
    <n v="5.96"/>
    <n v="352"/>
    <n v="17.64"/>
    <x v="0"/>
  </r>
  <r>
    <x v="0"/>
    <s v="小牧市"/>
    <x v="35"/>
    <x v="2"/>
    <n v="578"/>
    <n v="18.98"/>
    <n v="107"/>
    <n v="10.29"/>
    <n v="471"/>
    <n v="23.61"/>
    <x v="0"/>
  </r>
  <r>
    <x v="0"/>
    <s v="小牧市"/>
    <x v="35"/>
    <x v="3"/>
    <n v="5"/>
    <n v="0.16"/>
    <n v="0"/>
    <n v="0"/>
    <n v="5"/>
    <n v="0.25"/>
    <x v="0"/>
  </r>
  <r>
    <x v="0"/>
    <s v="小牧市"/>
    <x v="35"/>
    <x v="4"/>
    <n v="24"/>
    <n v="0.79"/>
    <n v="0"/>
    <n v="0"/>
    <n v="24"/>
    <n v="1.2"/>
    <x v="0"/>
  </r>
  <r>
    <x v="0"/>
    <s v="小牧市"/>
    <x v="35"/>
    <x v="5"/>
    <n v="94"/>
    <n v="3.09"/>
    <n v="2"/>
    <n v="0.19"/>
    <n v="92"/>
    <n v="4.6100000000000003"/>
    <x v="0"/>
  </r>
  <r>
    <x v="0"/>
    <s v="小牧市"/>
    <x v="35"/>
    <x v="6"/>
    <n v="598"/>
    <n v="19.64"/>
    <n v="195"/>
    <n v="18.75"/>
    <n v="403"/>
    <n v="20.2"/>
    <x v="0"/>
  </r>
  <r>
    <x v="0"/>
    <s v="小牧市"/>
    <x v="35"/>
    <x v="7"/>
    <n v="16"/>
    <n v="0.53"/>
    <n v="0"/>
    <n v="0"/>
    <n v="16"/>
    <n v="0.8"/>
    <x v="0"/>
  </r>
  <r>
    <x v="0"/>
    <s v="小牧市"/>
    <x v="35"/>
    <x v="8"/>
    <n v="274"/>
    <n v="9"/>
    <n v="49"/>
    <n v="4.71"/>
    <n v="224"/>
    <n v="11.23"/>
    <x v="0"/>
  </r>
  <r>
    <x v="0"/>
    <s v="小牧市"/>
    <x v="35"/>
    <x v="9"/>
    <n v="138"/>
    <n v="4.53"/>
    <n v="61"/>
    <n v="5.87"/>
    <n v="76"/>
    <n v="3.81"/>
    <x v="6"/>
  </r>
  <r>
    <x v="0"/>
    <s v="小牧市"/>
    <x v="35"/>
    <x v="10"/>
    <n v="249"/>
    <n v="8.18"/>
    <n v="184"/>
    <n v="17.690000000000001"/>
    <n v="63"/>
    <n v="3.16"/>
    <x v="0"/>
  </r>
  <r>
    <x v="0"/>
    <s v="小牧市"/>
    <x v="35"/>
    <x v="11"/>
    <n v="272"/>
    <n v="8.93"/>
    <n v="178"/>
    <n v="17.12"/>
    <n v="93"/>
    <n v="4.66"/>
    <x v="6"/>
  </r>
  <r>
    <x v="0"/>
    <s v="小牧市"/>
    <x v="35"/>
    <x v="12"/>
    <n v="129"/>
    <n v="4.24"/>
    <n v="91"/>
    <n v="8.75"/>
    <n v="33"/>
    <n v="1.65"/>
    <x v="0"/>
  </r>
  <r>
    <x v="0"/>
    <s v="小牧市"/>
    <x v="35"/>
    <x v="13"/>
    <n v="107"/>
    <n v="3.51"/>
    <n v="70"/>
    <n v="6.73"/>
    <n v="37"/>
    <n v="1.85"/>
    <x v="0"/>
  </r>
  <r>
    <x v="0"/>
    <s v="小牧市"/>
    <x v="35"/>
    <x v="14"/>
    <n v="147"/>
    <n v="4.83"/>
    <n v="41"/>
    <n v="3.94"/>
    <n v="106"/>
    <n v="5.31"/>
    <x v="0"/>
  </r>
  <r>
    <x v="0"/>
    <s v="稲沢市"/>
    <x v="36"/>
    <x v="0"/>
    <n v="0"/>
    <n v="0"/>
    <n v="0"/>
    <n v="0"/>
    <n v="0"/>
    <n v="0"/>
    <x v="0"/>
  </r>
  <r>
    <x v="0"/>
    <s v="稲沢市"/>
    <x v="36"/>
    <x v="1"/>
    <n v="305"/>
    <n v="13.26"/>
    <n v="66"/>
    <n v="5.85"/>
    <n v="239"/>
    <n v="20.86"/>
    <x v="0"/>
  </r>
  <r>
    <x v="0"/>
    <s v="稲沢市"/>
    <x v="36"/>
    <x v="2"/>
    <n v="338"/>
    <n v="14.69"/>
    <n v="143"/>
    <n v="12.67"/>
    <n v="195"/>
    <n v="17.02"/>
    <x v="0"/>
  </r>
  <r>
    <x v="0"/>
    <s v="稲沢市"/>
    <x v="36"/>
    <x v="3"/>
    <n v="10"/>
    <n v="0.43"/>
    <n v="0"/>
    <n v="0"/>
    <n v="10"/>
    <n v="0.87"/>
    <x v="0"/>
  </r>
  <r>
    <x v="0"/>
    <s v="稲沢市"/>
    <x v="36"/>
    <x v="4"/>
    <n v="20"/>
    <n v="0.87"/>
    <n v="0"/>
    <n v="0"/>
    <n v="20"/>
    <n v="1.75"/>
    <x v="0"/>
  </r>
  <r>
    <x v="0"/>
    <s v="稲沢市"/>
    <x v="36"/>
    <x v="5"/>
    <n v="22"/>
    <n v="0.96"/>
    <n v="2"/>
    <n v="0.18"/>
    <n v="20"/>
    <n v="1.75"/>
    <x v="0"/>
  </r>
  <r>
    <x v="0"/>
    <s v="稲沢市"/>
    <x v="36"/>
    <x v="6"/>
    <n v="477"/>
    <n v="20.73"/>
    <n v="208"/>
    <n v="18.420000000000002"/>
    <n v="268"/>
    <n v="23.39"/>
    <x v="6"/>
  </r>
  <r>
    <x v="0"/>
    <s v="稲沢市"/>
    <x v="36"/>
    <x v="7"/>
    <n v="10"/>
    <n v="0.43"/>
    <n v="1"/>
    <n v="0.09"/>
    <n v="9"/>
    <n v="0.79"/>
    <x v="0"/>
  </r>
  <r>
    <x v="0"/>
    <s v="稲沢市"/>
    <x v="36"/>
    <x v="8"/>
    <n v="200"/>
    <n v="8.69"/>
    <n v="86"/>
    <n v="7.62"/>
    <n v="114"/>
    <n v="9.9499999999999993"/>
    <x v="0"/>
  </r>
  <r>
    <x v="0"/>
    <s v="稲沢市"/>
    <x v="36"/>
    <x v="9"/>
    <n v="102"/>
    <n v="4.43"/>
    <n v="49"/>
    <n v="4.34"/>
    <n v="53"/>
    <n v="4.62"/>
    <x v="0"/>
  </r>
  <r>
    <x v="0"/>
    <s v="稲沢市"/>
    <x v="36"/>
    <x v="10"/>
    <n v="253"/>
    <n v="11"/>
    <n v="193"/>
    <n v="17.09"/>
    <n v="58"/>
    <n v="5.0599999999999996"/>
    <x v="0"/>
  </r>
  <r>
    <x v="0"/>
    <s v="稲沢市"/>
    <x v="36"/>
    <x v="11"/>
    <n v="249"/>
    <n v="10.82"/>
    <n v="191"/>
    <n v="16.920000000000002"/>
    <n v="58"/>
    <n v="5.0599999999999996"/>
    <x v="0"/>
  </r>
  <r>
    <x v="0"/>
    <s v="稲沢市"/>
    <x v="36"/>
    <x v="12"/>
    <n v="104"/>
    <n v="4.5199999999999996"/>
    <n v="65"/>
    <n v="5.76"/>
    <n v="31"/>
    <n v="2.71"/>
    <x v="6"/>
  </r>
  <r>
    <x v="0"/>
    <s v="稲沢市"/>
    <x v="36"/>
    <x v="13"/>
    <n v="141"/>
    <n v="6.13"/>
    <n v="88"/>
    <n v="7.79"/>
    <n v="40"/>
    <n v="3.49"/>
    <x v="0"/>
  </r>
  <r>
    <x v="0"/>
    <s v="稲沢市"/>
    <x v="36"/>
    <x v="14"/>
    <n v="70"/>
    <n v="3.04"/>
    <n v="37"/>
    <n v="3.28"/>
    <n v="31"/>
    <n v="2.71"/>
    <x v="6"/>
  </r>
  <r>
    <x v="0"/>
    <s v="新城市"/>
    <x v="37"/>
    <x v="0"/>
    <n v="2"/>
    <n v="0.17"/>
    <n v="0"/>
    <n v="0"/>
    <n v="2"/>
    <n v="0.43"/>
    <x v="0"/>
  </r>
  <r>
    <x v="0"/>
    <s v="新城市"/>
    <x v="37"/>
    <x v="1"/>
    <n v="217"/>
    <n v="18.82"/>
    <n v="99"/>
    <n v="14.82"/>
    <n v="118"/>
    <n v="25.16"/>
    <x v="0"/>
  </r>
  <r>
    <x v="0"/>
    <s v="新城市"/>
    <x v="37"/>
    <x v="2"/>
    <n v="127"/>
    <n v="11.01"/>
    <n v="55"/>
    <n v="8.23"/>
    <n v="72"/>
    <n v="15.35"/>
    <x v="0"/>
  </r>
  <r>
    <x v="0"/>
    <s v="新城市"/>
    <x v="37"/>
    <x v="3"/>
    <n v="3"/>
    <n v="0.26"/>
    <n v="0"/>
    <n v="0"/>
    <n v="3"/>
    <n v="0.64"/>
    <x v="0"/>
  </r>
  <r>
    <x v="0"/>
    <s v="新城市"/>
    <x v="37"/>
    <x v="4"/>
    <n v="4"/>
    <n v="0.35"/>
    <n v="0"/>
    <n v="0"/>
    <n v="4"/>
    <n v="0.85"/>
    <x v="0"/>
  </r>
  <r>
    <x v="0"/>
    <s v="新城市"/>
    <x v="37"/>
    <x v="5"/>
    <n v="17"/>
    <n v="1.47"/>
    <n v="2"/>
    <n v="0.3"/>
    <n v="15"/>
    <n v="3.2"/>
    <x v="0"/>
  </r>
  <r>
    <x v="0"/>
    <s v="新城市"/>
    <x v="37"/>
    <x v="6"/>
    <n v="264"/>
    <n v="22.9"/>
    <n v="147"/>
    <n v="22.01"/>
    <n v="116"/>
    <n v="24.73"/>
    <x v="6"/>
  </r>
  <r>
    <x v="0"/>
    <s v="新城市"/>
    <x v="37"/>
    <x v="7"/>
    <n v="5"/>
    <n v="0.43"/>
    <n v="3"/>
    <n v="0.45"/>
    <n v="2"/>
    <n v="0.43"/>
    <x v="0"/>
  </r>
  <r>
    <x v="0"/>
    <s v="新城市"/>
    <x v="37"/>
    <x v="8"/>
    <n v="43"/>
    <n v="3.73"/>
    <n v="16"/>
    <n v="2.4"/>
    <n v="25"/>
    <n v="5.33"/>
    <x v="6"/>
  </r>
  <r>
    <x v="0"/>
    <s v="新城市"/>
    <x v="37"/>
    <x v="9"/>
    <n v="51"/>
    <n v="4.42"/>
    <n v="28"/>
    <n v="4.1900000000000004"/>
    <n v="22"/>
    <n v="4.6900000000000004"/>
    <x v="6"/>
  </r>
  <r>
    <x v="0"/>
    <s v="新城市"/>
    <x v="37"/>
    <x v="10"/>
    <n v="114"/>
    <n v="9.89"/>
    <n v="90"/>
    <n v="13.47"/>
    <n v="23"/>
    <n v="4.9000000000000004"/>
    <x v="0"/>
  </r>
  <r>
    <x v="0"/>
    <s v="新城市"/>
    <x v="37"/>
    <x v="11"/>
    <n v="159"/>
    <n v="13.79"/>
    <n v="143"/>
    <n v="21.41"/>
    <n v="16"/>
    <n v="3.41"/>
    <x v="0"/>
  </r>
  <r>
    <x v="0"/>
    <s v="新城市"/>
    <x v="37"/>
    <x v="12"/>
    <n v="48"/>
    <n v="4.16"/>
    <n v="36"/>
    <n v="5.39"/>
    <n v="9"/>
    <n v="1.92"/>
    <x v="0"/>
  </r>
  <r>
    <x v="0"/>
    <s v="新城市"/>
    <x v="37"/>
    <x v="13"/>
    <n v="64"/>
    <n v="5.55"/>
    <n v="37"/>
    <n v="5.54"/>
    <n v="23"/>
    <n v="4.9000000000000004"/>
    <x v="0"/>
  </r>
  <r>
    <x v="0"/>
    <s v="新城市"/>
    <x v="37"/>
    <x v="14"/>
    <n v="35"/>
    <n v="3.04"/>
    <n v="12"/>
    <n v="1.8"/>
    <n v="19"/>
    <n v="4.05"/>
    <x v="14"/>
  </r>
  <r>
    <x v="0"/>
    <s v="東海市"/>
    <x v="38"/>
    <x v="0"/>
    <n v="0"/>
    <n v="0"/>
    <n v="0"/>
    <n v="0"/>
    <n v="0"/>
    <n v="0"/>
    <x v="0"/>
  </r>
  <r>
    <x v="0"/>
    <s v="東海市"/>
    <x v="38"/>
    <x v="1"/>
    <n v="334"/>
    <n v="16.59"/>
    <n v="64"/>
    <n v="7.33"/>
    <n v="270"/>
    <n v="24.09"/>
    <x v="0"/>
  </r>
  <r>
    <x v="0"/>
    <s v="東海市"/>
    <x v="38"/>
    <x v="2"/>
    <n v="206"/>
    <n v="10.23"/>
    <n v="49"/>
    <n v="5.61"/>
    <n v="157"/>
    <n v="14.01"/>
    <x v="0"/>
  </r>
  <r>
    <x v="0"/>
    <s v="東海市"/>
    <x v="38"/>
    <x v="3"/>
    <n v="1"/>
    <n v="0.05"/>
    <n v="0"/>
    <n v="0"/>
    <n v="1"/>
    <n v="0.09"/>
    <x v="0"/>
  </r>
  <r>
    <x v="0"/>
    <s v="東海市"/>
    <x v="38"/>
    <x v="4"/>
    <n v="11"/>
    <n v="0.55000000000000004"/>
    <n v="0"/>
    <n v="0"/>
    <n v="11"/>
    <n v="0.98"/>
    <x v="0"/>
  </r>
  <r>
    <x v="0"/>
    <s v="東海市"/>
    <x v="38"/>
    <x v="5"/>
    <n v="43"/>
    <n v="2.14"/>
    <n v="1"/>
    <n v="0.11"/>
    <n v="42"/>
    <n v="3.75"/>
    <x v="0"/>
  </r>
  <r>
    <x v="0"/>
    <s v="東海市"/>
    <x v="38"/>
    <x v="6"/>
    <n v="357"/>
    <n v="17.73"/>
    <n v="116"/>
    <n v="13.29"/>
    <n v="241"/>
    <n v="21.5"/>
    <x v="0"/>
  </r>
  <r>
    <x v="0"/>
    <s v="東海市"/>
    <x v="38"/>
    <x v="7"/>
    <n v="15"/>
    <n v="0.75"/>
    <n v="2"/>
    <n v="0.23"/>
    <n v="13"/>
    <n v="1.1599999999999999"/>
    <x v="0"/>
  </r>
  <r>
    <x v="0"/>
    <s v="東海市"/>
    <x v="38"/>
    <x v="8"/>
    <n v="195"/>
    <n v="9.69"/>
    <n v="88"/>
    <n v="10.08"/>
    <n v="107"/>
    <n v="9.5500000000000007"/>
    <x v="0"/>
  </r>
  <r>
    <x v="0"/>
    <s v="東海市"/>
    <x v="38"/>
    <x v="9"/>
    <n v="72"/>
    <n v="3.58"/>
    <n v="36"/>
    <n v="4.12"/>
    <n v="36"/>
    <n v="3.21"/>
    <x v="0"/>
  </r>
  <r>
    <x v="0"/>
    <s v="東海市"/>
    <x v="38"/>
    <x v="10"/>
    <n v="261"/>
    <n v="12.97"/>
    <n v="191"/>
    <n v="21.88"/>
    <n v="68"/>
    <n v="6.07"/>
    <x v="0"/>
  </r>
  <r>
    <x v="0"/>
    <s v="東海市"/>
    <x v="38"/>
    <x v="11"/>
    <n v="273"/>
    <n v="13.56"/>
    <n v="187"/>
    <n v="21.42"/>
    <n v="82"/>
    <n v="7.31"/>
    <x v="6"/>
  </r>
  <r>
    <x v="0"/>
    <s v="東海市"/>
    <x v="38"/>
    <x v="12"/>
    <n v="87"/>
    <n v="4.32"/>
    <n v="61"/>
    <n v="6.99"/>
    <n v="22"/>
    <n v="1.96"/>
    <x v="6"/>
  </r>
  <r>
    <x v="0"/>
    <s v="東海市"/>
    <x v="38"/>
    <x v="13"/>
    <n v="95"/>
    <n v="4.72"/>
    <n v="57"/>
    <n v="6.53"/>
    <n v="30"/>
    <n v="2.68"/>
    <x v="0"/>
  </r>
  <r>
    <x v="0"/>
    <s v="東海市"/>
    <x v="38"/>
    <x v="14"/>
    <n v="63"/>
    <n v="3.13"/>
    <n v="21"/>
    <n v="2.41"/>
    <n v="41"/>
    <n v="3.66"/>
    <x v="6"/>
  </r>
  <r>
    <x v="0"/>
    <s v="大府市"/>
    <x v="39"/>
    <x v="0"/>
    <n v="0"/>
    <n v="0"/>
    <n v="0"/>
    <n v="0"/>
    <n v="0"/>
    <n v="0"/>
    <x v="0"/>
  </r>
  <r>
    <x v="0"/>
    <s v="大府市"/>
    <x v="39"/>
    <x v="1"/>
    <n v="281"/>
    <n v="15.88"/>
    <n v="65"/>
    <n v="8.15"/>
    <n v="216"/>
    <n v="22.43"/>
    <x v="0"/>
  </r>
  <r>
    <x v="0"/>
    <s v="大府市"/>
    <x v="39"/>
    <x v="2"/>
    <n v="269"/>
    <n v="15.21"/>
    <n v="48"/>
    <n v="6.02"/>
    <n v="221"/>
    <n v="22.95"/>
    <x v="0"/>
  </r>
  <r>
    <x v="0"/>
    <s v="大府市"/>
    <x v="39"/>
    <x v="3"/>
    <n v="2"/>
    <n v="0.11"/>
    <n v="0"/>
    <n v="0"/>
    <n v="2"/>
    <n v="0.21"/>
    <x v="0"/>
  </r>
  <r>
    <x v="0"/>
    <s v="大府市"/>
    <x v="39"/>
    <x v="4"/>
    <n v="9"/>
    <n v="0.51"/>
    <n v="1"/>
    <n v="0.13"/>
    <n v="8"/>
    <n v="0.83"/>
    <x v="0"/>
  </r>
  <r>
    <x v="0"/>
    <s v="大府市"/>
    <x v="39"/>
    <x v="5"/>
    <n v="23"/>
    <n v="1.3"/>
    <n v="3"/>
    <n v="0.38"/>
    <n v="20"/>
    <n v="2.08"/>
    <x v="0"/>
  </r>
  <r>
    <x v="0"/>
    <s v="大府市"/>
    <x v="39"/>
    <x v="6"/>
    <n v="323"/>
    <n v="18.260000000000002"/>
    <n v="124"/>
    <n v="15.54"/>
    <n v="198"/>
    <n v="20.56"/>
    <x v="6"/>
  </r>
  <r>
    <x v="0"/>
    <s v="大府市"/>
    <x v="39"/>
    <x v="7"/>
    <n v="11"/>
    <n v="0.62"/>
    <n v="2"/>
    <n v="0.25"/>
    <n v="9"/>
    <n v="0.93"/>
    <x v="0"/>
  </r>
  <r>
    <x v="0"/>
    <s v="大府市"/>
    <x v="39"/>
    <x v="8"/>
    <n v="200"/>
    <n v="11.31"/>
    <n v="111"/>
    <n v="13.91"/>
    <n v="89"/>
    <n v="9.24"/>
    <x v="0"/>
  </r>
  <r>
    <x v="0"/>
    <s v="大府市"/>
    <x v="39"/>
    <x v="9"/>
    <n v="78"/>
    <n v="4.41"/>
    <n v="48"/>
    <n v="6.02"/>
    <n v="30"/>
    <n v="3.12"/>
    <x v="0"/>
  </r>
  <r>
    <x v="0"/>
    <s v="大府市"/>
    <x v="39"/>
    <x v="10"/>
    <n v="153"/>
    <n v="8.65"/>
    <n v="111"/>
    <n v="13.91"/>
    <n v="42"/>
    <n v="4.3600000000000003"/>
    <x v="0"/>
  </r>
  <r>
    <x v="0"/>
    <s v="大府市"/>
    <x v="39"/>
    <x v="11"/>
    <n v="204"/>
    <n v="11.53"/>
    <n v="153"/>
    <n v="19.170000000000002"/>
    <n v="50"/>
    <n v="5.19"/>
    <x v="6"/>
  </r>
  <r>
    <x v="0"/>
    <s v="大府市"/>
    <x v="39"/>
    <x v="12"/>
    <n v="86"/>
    <n v="4.8600000000000003"/>
    <n v="66"/>
    <n v="8.27"/>
    <n v="17"/>
    <n v="1.77"/>
    <x v="14"/>
  </r>
  <r>
    <x v="0"/>
    <s v="大府市"/>
    <x v="39"/>
    <x v="13"/>
    <n v="75"/>
    <n v="4.24"/>
    <n v="52"/>
    <n v="6.52"/>
    <n v="22"/>
    <n v="2.2799999999999998"/>
    <x v="6"/>
  </r>
  <r>
    <x v="0"/>
    <s v="大府市"/>
    <x v="39"/>
    <x v="14"/>
    <n v="55"/>
    <n v="3.11"/>
    <n v="14"/>
    <n v="1.75"/>
    <n v="39"/>
    <n v="4.05"/>
    <x v="0"/>
  </r>
  <r>
    <x v="0"/>
    <s v="知多市"/>
    <x v="40"/>
    <x v="0"/>
    <n v="0"/>
    <n v="0"/>
    <n v="0"/>
    <n v="0"/>
    <n v="0"/>
    <n v="0"/>
    <x v="0"/>
  </r>
  <r>
    <x v="0"/>
    <s v="知多市"/>
    <x v="40"/>
    <x v="1"/>
    <n v="234"/>
    <n v="18.559999999999999"/>
    <n v="55"/>
    <n v="8.16"/>
    <n v="179"/>
    <n v="31.57"/>
    <x v="0"/>
  </r>
  <r>
    <x v="0"/>
    <s v="知多市"/>
    <x v="40"/>
    <x v="2"/>
    <n v="75"/>
    <n v="5.95"/>
    <n v="33"/>
    <n v="4.9000000000000004"/>
    <n v="42"/>
    <n v="7.41"/>
    <x v="0"/>
  </r>
  <r>
    <x v="0"/>
    <s v="知多市"/>
    <x v="40"/>
    <x v="3"/>
    <n v="2"/>
    <n v="0.16"/>
    <n v="0"/>
    <n v="0"/>
    <n v="2"/>
    <n v="0.35"/>
    <x v="0"/>
  </r>
  <r>
    <x v="0"/>
    <s v="知多市"/>
    <x v="40"/>
    <x v="4"/>
    <n v="8"/>
    <n v="0.63"/>
    <n v="0"/>
    <n v="0"/>
    <n v="8"/>
    <n v="1.41"/>
    <x v="0"/>
  </r>
  <r>
    <x v="0"/>
    <s v="知多市"/>
    <x v="40"/>
    <x v="5"/>
    <n v="18"/>
    <n v="1.43"/>
    <n v="0"/>
    <n v="0"/>
    <n v="18"/>
    <n v="3.17"/>
    <x v="0"/>
  </r>
  <r>
    <x v="0"/>
    <s v="知多市"/>
    <x v="40"/>
    <x v="6"/>
    <n v="237"/>
    <n v="18.79"/>
    <n v="137"/>
    <n v="20.329999999999998"/>
    <n v="99"/>
    <n v="17.46"/>
    <x v="6"/>
  </r>
  <r>
    <x v="0"/>
    <s v="知多市"/>
    <x v="40"/>
    <x v="7"/>
    <n v="5"/>
    <n v="0.4"/>
    <n v="0"/>
    <n v="0"/>
    <n v="5"/>
    <n v="0.88"/>
    <x v="0"/>
  </r>
  <r>
    <x v="0"/>
    <s v="知多市"/>
    <x v="40"/>
    <x v="8"/>
    <n v="120"/>
    <n v="9.52"/>
    <n v="66"/>
    <n v="9.7899999999999991"/>
    <n v="54"/>
    <n v="9.52"/>
    <x v="0"/>
  </r>
  <r>
    <x v="0"/>
    <s v="知多市"/>
    <x v="40"/>
    <x v="9"/>
    <n v="51"/>
    <n v="4.04"/>
    <n v="26"/>
    <n v="3.86"/>
    <n v="25"/>
    <n v="4.41"/>
    <x v="0"/>
  </r>
  <r>
    <x v="0"/>
    <s v="知多市"/>
    <x v="40"/>
    <x v="10"/>
    <n v="151"/>
    <n v="11.97"/>
    <n v="119"/>
    <n v="17.66"/>
    <n v="31"/>
    <n v="5.47"/>
    <x v="0"/>
  </r>
  <r>
    <x v="0"/>
    <s v="知多市"/>
    <x v="40"/>
    <x v="11"/>
    <n v="170"/>
    <n v="13.48"/>
    <n v="127"/>
    <n v="18.84"/>
    <n v="34"/>
    <n v="6"/>
    <x v="0"/>
  </r>
  <r>
    <x v="0"/>
    <s v="知多市"/>
    <x v="40"/>
    <x v="12"/>
    <n v="61"/>
    <n v="4.84"/>
    <n v="50"/>
    <n v="7.42"/>
    <n v="9"/>
    <n v="1.59"/>
    <x v="0"/>
  </r>
  <r>
    <x v="0"/>
    <s v="知多市"/>
    <x v="40"/>
    <x v="13"/>
    <n v="82"/>
    <n v="6.5"/>
    <n v="48"/>
    <n v="7.12"/>
    <n v="30"/>
    <n v="5.29"/>
    <x v="0"/>
  </r>
  <r>
    <x v="0"/>
    <s v="知多市"/>
    <x v="40"/>
    <x v="14"/>
    <n v="47"/>
    <n v="3.73"/>
    <n v="13"/>
    <n v="1.93"/>
    <n v="31"/>
    <n v="5.47"/>
    <x v="6"/>
  </r>
  <r>
    <x v="0"/>
    <s v="知立市"/>
    <x v="41"/>
    <x v="0"/>
    <n v="0"/>
    <n v="0"/>
    <n v="0"/>
    <n v="0"/>
    <n v="0"/>
    <n v="0"/>
    <x v="0"/>
  </r>
  <r>
    <x v="0"/>
    <s v="知立市"/>
    <x v="41"/>
    <x v="1"/>
    <n v="109"/>
    <n v="11.26"/>
    <n v="14"/>
    <n v="3.2"/>
    <n v="95"/>
    <n v="18.16"/>
    <x v="0"/>
  </r>
  <r>
    <x v="0"/>
    <s v="知立市"/>
    <x v="41"/>
    <x v="2"/>
    <n v="102"/>
    <n v="10.54"/>
    <n v="22"/>
    <n v="5.03"/>
    <n v="80"/>
    <n v="15.3"/>
    <x v="0"/>
  </r>
  <r>
    <x v="0"/>
    <s v="知立市"/>
    <x v="41"/>
    <x v="3"/>
    <n v="2"/>
    <n v="0.21"/>
    <n v="0"/>
    <n v="0"/>
    <n v="2"/>
    <n v="0.38"/>
    <x v="0"/>
  </r>
  <r>
    <x v="0"/>
    <s v="知立市"/>
    <x v="41"/>
    <x v="4"/>
    <n v="11"/>
    <n v="1.1399999999999999"/>
    <n v="0"/>
    <n v="0"/>
    <n v="11"/>
    <n v="2.1"/>
    <x v="0"/>
  </r>
  <r>
    <x v="0"/>
    <s v="知立市"/>
    <x v="41"/>
    <x v="5"/>
    <n v="9"/>
    <n v="0.93"/>
    <n v="0"/>
    <n v="0"/>
    <n v="8"/>
    <n v="1.53"/>
    <x v="0"/>
  </r>
  <r>
    <x v="0"/>
    <s v="知立市"/>
    <x v="41"/>
    <x v="6"/>
    <n v="233"/>
    <n v="24.07"/>
    <n v="115"/>
    <n v="26.32"/>
    <n v="118"/>
    <n v="22.56"/>
    <x v="0"/>
  </r>
  <r>
    <x v="0"/>
    <s v="知立市"/>
    <x v="41"/>
    <x v="7"/>
    <n v="6"/>
    <n v="0.62"/>
    <n v="1"/>
    <n v="0.23"/>
    <n v="5"/>
    <n v="0.96"/>
    <x v="0"/>
  </r>
  <r>
    <x v="0"/>
    <s v="知立市"/>
    <x v="41"/>
    <x v="8"/>
    <n v="93"/>
    <n v="9.61"/>
    <n v="17"/>
    <n v="3.89"/>
    <n v="76"/>
    <n v="14.53"/>
    <x v="0"/>
  </r>
  <r>
    <x v="0"/>
    <s v="知立市"/>
    <x v="41"/>
    <x v="9"/>
    <n v="49"/>
    <n v="5.0599999999999996"/>
    <n v="21"/>
    <n v="4.8099999999999996"/>
    <n v="28"/>
    <n v="5.35"/>
    <x v="0"/>
  </r>
  <r>
    <x v="0"/>
    <s v="知立市"/>
    <x v="41"/>
    <x v="10"/>
    <n v="101"/>
    <n v="10.43"/>
    <n v="77"/>
    <n v="17.62"/>
    <n v="24"/>
    <n v="4.59"/>
    <x v="0"/>
  </r>
  <r>
    <x v="0"/>
    <s v="知立市"/>
    <x v="41"/>
    <x v="11"/>
    <n v="125"/>
    <n v="12.91"/>
    <n v="100"/>
    <n v="22.88"/>
    <n v="25"/>
    <n v="4.78"/>
    <x v="0"/>
  </r>
  <r>
    <x v="0"/>
    <s v="知立市"/>
    <x v="41"/>
    <x v="12"/>
    <n v="46"/>
    <n v="4.75"/>
    <n v="29"/>
    <n v="6.64"/>
    <n v="15"/>
    <n v="2.87"/>
    <x v="0"/>
  </r>
  <r>
    <x v="0"/>
    <s v="知立市"/>
    <x v="41"/>
    <x v="13"/>
    <n v="43"/>
    <n v="4.4400000000000004"/>
    <n v="29"/>
    <n v="6.64"/>
    <n v="11"/>
    <n v="2.1"/>
    <x v="0"/>
  </r>
  <r>
    <x v="0"/>
    <s v="知立市"/>
    <x v="41"/>
    <x v="14"/>
    <n v="39"/>
    <n v="4.03"/>
    <n v="12"/>
    <n v="2.75"/>
    <n v="25"/>
    <n v="4.78"/>
    <x v="0"/>
  </r>
  <r>
    <x v="0"/>
    <s v="尾張旭市"/>
    <x v="42"/>
    <x v="0"/>
    <n v="1"/>
    <n v="7.0000000000000007E-2"/>
    <n v="0"/>
    <n v="0"/>
    <n v="1"/>
    <n v="0.12"/>
    <x v="0"/>
  </r>
  <r>
    <x v="0"/>
    <s v="尾張旭市"/>
    <x v="42"/>
    <x v="1"/>
    <n v="255"/>
    <n v="17.36"/>
    <n v="38"/>
    <n v="6.03"/>
    <n v="217"/>
    <n v="26.3"/>
    <x v="0"/>
  </r>
  <r>
    <x v="0"/>
    <s v="尾張旭市"/>
    <x v="42"/>
    <x v="2"/>
    <n v="120"/>
    <n v="8.17"/>
    <n v="36"/>
    <n v="5.71"/>
    <n v="84"/>
    <n v="10.18"/>
    <x v="0"/>
  </r>
  <r>
    <x v="0"/>
    <s v="尾張旭市"/>
    <x v="42"/>
    <x v="3"/>
    <n v="5"/>
    <n v="0.34"/>
    <n v="0"/>
    <n v="0"/>
    <n v="5"/>
    <n v="0.61"/>
    <x v="0"/>
  </r>
  <r>
    <x v="0"/>
    <s v="尾張旭市"/>
    <x v="42"/>
    <x v="4"/>
    <n v="11"/>
    <n v="0.75"/>
    <n v="0"/>
    <n v="0"/>
    <n v="11"/>
    <n v="1.33"/>
    <x v="0"/>
  </r>
  <r>
    <x v="0"/>
    <s v="尾張旭市"/>
    <x v="42"/>
    <x v="5"/>
    <n v="18"/>
    <n v="1.23"/>
    <n v="2"/>
    <n v="0.32"/>
    <n v="16"/>
    <n v="1.94"/>
    <x v="0"/>
  </r>
  <r>
    <x v="0"/>
    <s v="尾張旭市"/>
    <x v="42"/>
    <x v="6"/>
    <n v="244"/>
    <n v="16.61"/>
    <n v="83"/>
    <n v="13.17"/>
    <n v="161"/>
    <n v="19.52"/>
    <x v="0"/>
  </r>
  <r>
    <x v="0"/>
    <s v="尾張旭市"/>
    <x v="42"/>
    <x v="7"/>
    <n v="15"/>
    <n v="1.02"/>
    <n v="5"/>
    <n v="0.79"/>
    <n v="10"/>
    <n v="1.21"/>
    <x v="0"/>
  </r>
  <r>
    <x v="0"/>
    <s v="尾張旭市"/>
    <x v="42"/>
    <x v="8"/>
    <n v="166"/>
    <n v="11.3"/>
    <n v="58"/>
    <n v="9.2100000000000009"/>
    <n v="108"/>
    <n v="13.09"/>
    <x v="0"/>
  </r>
  <r>
    <x v="0"/>
    <s v="尾張旭市"/>
    <x v="42"/>
    <x v="9"/>
    <n v="98"/>
    <n v="6.67"/>
    <n v="48"/>
    <n v="7.62"/>
    <n v="48"/>
    <n v="5.82"/>
    <x v="14"/>
  </r>
  <r>
    <x v="0"/>
    <s v="尾張旭市"/>
    <x v="42"/>
    <x v="10"/>
    <n v="128"/>
    <n v="8.7100000000000009"/>
    <n v="102"/>
    <n v="16.190000000000001"/>
    <n v="25"/>
    <n v="3.03"/>
    <x v="0"/>
  </r>
  <r>
    <x v="0"/>
    <s v="尾張旭市"/>
    <x v="42"/>
    <x v="11"/>
    <n v="180"/>
    <n v="12.25"/>
    <n v="130"/>
    <n v="20.63"/>
    <n v="50"/>
    <n v="6.06"/>
    <x v="0"/>
  </r>
  <r>
    <x v="0"/>
    <s v="尾張旭市"/>
    <x v="42"/>
    <x v="12"/>
    <n v="88"/>
    <n v="5.99"/>
    <n v="59"/>
    <n v="9.3699999999999992"/>
    <n v="20"/>
    <n v="2.42"/>
    <x v="0"/>
  </r>
  <r>
    <x v="0"/>
    <s v="尾張旭市"/>
    <x v="42"/>
    <x v="13"/>
    <n v="90"/>
    <n v="6.13"/>
    <n v="58"/>
    <n v="9.2100000000000009"/>
    <n v="32"/>
    <n v="3.88"/>
    <x v="0"/>
  </r>
  <r>
    <x v="0"/>
    <s v="尾張旭市"/>
    <x v="42"/>
    <x v="14"/>
    <n v="50"/>
    <n v="3.4"/>
    <n v="11"/>
    <n v="1.75"/>
    <n v="37"/>
    <n v="4.4800000000000004"/>
    <x v="0"/>
  </r>
  <r>
    <x v="0"/>
    <s v="高浜市"/>
    <x v="43"/>
    <x v="0"/>
    <n v="1"/>
    <n v="0.12"/>
    <n v="0"/>
    <n v="0"/>
    <n v="1"/>
    <n v="0.26"/>
    <x v="0"/>
  </r>
  <r>
    <x v="0"/>
    <s v="高浜市"/>
    <x v="43"/>
    <x v="1"/>
    <n v="118"/>
    <n v="13.75"/>
    <n v="47"/>
    <n v="9.94"/>
    <n v="71"/>
    <n v="18.64"/>
    <x v="0"/>
  </r>
  <r>
    <x v="0"/>
    <s v="高浜市"/>
    <x v="43"/>
    <x v="2"/>
    <n v="158"/>
    <n v="18.41"/>
    <n v="65"/>
    <n v="13.74"/>
    <n v="93"/>
    <n v="24.41"/>
    <x v="0"/>
  </r>
  <r>
    <x v="0"/>
    <s v="高浜市"/>
    <x v="43"/>
    <x v="3"/>
    <n v="0"/>
    <n v="0"/>
    <n v="0"/>
    <n v="0"/>
    <n v="0"/>
    <n v="0"/>
    <x v="0"/>
  </r>
  <r>
    <x v="0"/>
    <s v="高浜市"/>
    <x v="43"/>
    <x v="4"/>
    <n v="2"/>
    <n v="0.23"/>
    <n v="0"/>
    <n v="0"/>
    <n v="2"/>
    <n v="0.52"/>
    <x v="0"/>
  </r>
  <r>
    <x v="0"/>
    <s v="高浜市"/>
    <x v="43"/>
    <x v="5"/>
    <n v="7"/>
    <n v="0.82"/>
    <n v="1"/>
    <n v="0.21"/>
    <n v="6"/>
    <n v="1.57"/>
    <x v="0"/>
  </r>
  <r>
    <x v="0"/>
    <s v="高浜市"/>
    <x v="43"/>
    <x v="6"/>
    <n v="182"/>
    <n v="21.21"/>
    <n v="96"/>
    <n v="20.3"/>
    <n v="85"/>
    <n v="22.31"/>
    <x v="6"/>
  </r>
  <r>
    <x v="0"/>
    <s v="高浜市"/>
    <x v="43"/>
    <x v="7"/>
    <n v="6"/>
    <n v="0.7"/>
    <n v="1"/>
    <n v="0.21"/>
    <n v="5"/>
    <n v="1.31"/>
    <x v="0"/>
  </r>
  <r>
    <x v="0"/>
    <s v="高浜市"/>
    <x v="43"/>
    <x v="8"/>
    <n v="68"/>
    <n v="7.93"/>
    <n v="25"/>
    <n v="5.29"/>
    <n v="43"/>
    <n v="11.29"/>
    <x v="0"/>
  </r>
  <r>
    <x v="0"/>
    <s v="高浜市"/>
    <x v="43"/>
    <x v="9"/>
    <n v="37"/>
    <n v="4.3099999999999996"/>
    <n v="26"/>
    <n v="5.5"/>
    <n v="11"/>
    <n v="2.89"/>
    <x v="0"/>
  </r>
  <r>
    <x v="0"/>
    <s v="高浜市"/>
    <x v="43"/>
    <x v="10"/>
    <n v="68"/>
    <n v="7.93"/>
    <n v="55"/>
    <n v="11.63"/>
    <n v="13"/>
    <n v="3.41"/>
    <x v="0"/>
  </r>
  <r>
    <x v="0"/>
    <s v="高浜市"/>
    <x v="43"/>
    <x v="11"/>
    <n v="104"/>
    <n v="12.12"/>
    <n v="88"/>
    <n v="18.600000000000001"/>
    <n v="16"/>
    <n v="4.2"/>
    <x v="0"/>
  </r>
  <r>
    <x v="0"/>
    <s v="高浜市"/>
    <x v="43"/>
    <x v="12"/>
    <n v="49"/>
    <n v="5.71"/>
    <n v="37"/>
    <n v="7.82"/>
    <n v="11"/>
    <n v="2.89"/>
    <x v="6"/>
  </r>
  <r>
    <x v="0"/>
    <s v="高浜市"/>
    <x v="43"/>
    <x v="13"/>
    <n v="36"/>
    <n v="4.2"/>
    <n v="22"/>
    <n v="4.6500000000000004"/>
    <n v="12"/>
    <n v="3.15"/>
    <x v="0"/>
  </r>
  <r>
    <x v="0"/>
    <s v="高浜市"/>
    <x v="43"/>
    <x v="14"/>
    <n v="22"/>
    <n v="2.56"/>
    <n v="10"/>
    <n v="2.11"/>
    <n v="12"/>
    <n v="3.15"/>
    <x v="0"/>
  </r>
  <r>
    <x v="0"/>
    <s v="岩倉市"/>
    <x v="44"/>
    <x v="0"/>
    <n v="0"/>
    <n v="0"/>
    <n v="0"/>
    <n v="0"/>
    <n v="0"/>
    <n v="0"/>
    <x v="0"/>
  </r>
  <r>
    <x v="0"/>
    <s v="岩倉市"/>
    <x v="44"/>
    <x v="1"/>
    <n v="85"/>
    <n v="9.84"/>
    <n v="15"/>
    <n v="3.35"/>
    <n v="70"/>
    <n v="16.91"/>
    <x v="0"/>
  </r>
  <r>
    <x v="0"/>
    <s v="岩倉市"/>
    <x v="44"/>
    <x v="2"/>
    <n v="87"/>
    <n v="10.07"/>
    <n v="24"/>
    <n v="5.36"/>
    <n v="63"/>
    <n v="15.22"/>
    <x v="0"/>
  </r>
  <r>
    <x v="0"/>
    <s v="岩倉市"/>
    <x v="44"/>
    <x v="3"/>
    <n v="3"/>
    <n v="0.35"/>
    <n v="0"/>
    <n v="0"/>
    <n v="3"/>
    <n v="0.72"/>
    <x v="0"/>
  </r>
  <r>
    <x v="0"/>
    <s v="岩倉市"/>
    <x v="44"/>
    <x v="4"/>
    <n v="6"/>
    <n v="0.69"/>
    <n v="0"/>
    <n v="0"/>
    <n v="6"/>
    <n v="1.45"/>
    <x v="0"/>
  </r>
  <r>
    <x v="0"/>
    <s v="岩倉市"/>
    <x v="44"/>
    <x v="5"/>
    <n v="8"/>
    <n v="0.93"/>
    <n v="1"/>
    <n v="0.22"/>
    <n v="7"/>
    <n v="1.69"/>
    <x v="0"/>
  </r>
  <r>
    <x v="0"/>
    <s v="岩倉市"/>
    <x v="44"/>
    <x v="6"/>
    <n v="164"/>
    <n v="18.98"/>
    <n v="69"/>
    <n v="15.4"/>
    <n v="95"/>
    <n v="22.95"/>
    <x v="0"/>
  </r>
  <r>
    <x v="0"/>
    <s v="岩倉市"/>
    <x v="44"/>
    <x v="7"/>
    <n v="4"/>
    <n v="0.46"/>
    <n v="1"/>
    <n v="0.22"/>
    <n v="3"/>
    <n v="0.72"/>
    <x v="0"/>
  </r>
  <r>
    <x v="0"/>
    <s v="岩倉市"/>
    <x v="44"/>
    <x v="8"/>
    <n v="147"/>
    <n v="17.010000000000002"/>
    <n v="74"/>
    <n v="16.52"/>
    <n v="73"/>
    <n v="17.63"/>
    <x v="0"/>
  </r>
  <r>
    <x v="0"/>
    <s v="岩倉市"/>
    <x v="44"/>
    <x v="9"/>
    <n v="30"/>
    <n v="3.47"/>
    <n v="18"/>
    <n v="4.0199999999999996"/>
    <n v="12"/>
    <n v="2.9"/>
    <x v="0"/>
  </r>
  <r>
    <x v="0"/>
    <s v="岩倉市"/>
    <x v="44"/>
    <x v="10"/>
    <n v="109"/>
    <n v="12.62"/>
    <n v="96"/>
    <n v="21.43"/>
    <n v="12"/>
    <n v="2.9"/>
    <x v="0"/>
  </r>
  <r>
    <x v="0"/>
    <s v="岩倉市"/>
    <x v="44"/>
    <x v="11"/>
    <n v="94"/>
    <n v="10.88"/>
    <n v="68"/>
    <n v="15.18"/>
    <n v="26"/>
    <n v="6.28"/>
    <x v="0"/>
  </r>
  <r>
    <x v="0"/>
    <s v="岩倉市"/>
    <x v="44"/>
    <x v="12"/>
    <n v="64"/>
    <n v="7.41"/>
    <n v="48"/>
    <n v="10.71"/>
    <n v="16"/>
    <n v="3.86"/>
    <x v="0"/>
  </r>
  <r>
    <x v="0"/>
    <s v="岩倉市"/>
    <x v="44"/>
    <x v="13"/>
    <n v="44"/>
    <n v="5.09"/>
    <n v="29"/>
    <n v="6.47"/>
    <n v="14"/>
    <n v="3.38"/>
    <x v="0"/>
  </r>
  <r>
    <x v="0"/>
    <s v="岩倉市"/>
    <x v="44"/>
    <x v="14"/>
    <n v="19"/>
    <n v="2.2000000000000002"/>
    <n v="5"/>
    <n v="1.1200000000000001"/>
    <n v="14"/>
    <n v="3.38"/>
    <x v="0"/>
  </r>
  <r>
    <x v="0"/>
    <s v="豊明市"/>
    <x v="45"/>
    <x v="0"/>
    <n v="0"/>
    <n v="0"/>
    <n v="0"/>
    <n v="0"/>
    <n v="0"/>
    <n v="0"/>
    <x v="0"/>
  </r>
  <r>
    <x v="0"/>
    <s v="豊明市"/>
    <x v="45"/>
    <x v="1"/>
    <n v="205"/>
    <n v="16.12"/>
    <n v="51"/>
    <n v="8.9499999999999993"/>
    <n v="153"/>
    <n v="21.95"/>
    <x v="6"/>
  </r>
  <r>
    <x v="0"/>
    <s v="豊明市"/>
    <x v="45"/>
    <x v="2"/>
    <n v="202"/>
    <n v="15.88"/>
    <n v="51"/>
    <n v="8.9499999999999993"/>
    <n v="151"/>
    <n v="21.66"/>
    <x v="0"/>
  </r>
  <r>
    <x v="0"/>
    <s v="豊明市"/>
    <x v="45"/>
    <x v="3"/>
    <n v="4"/>
    <n v="0.31"/>
    <n v="0"/>
    <n v="0"/>
    <n v="4"/>
    <n v="0.56999999999999995"/>
    <x v="0"/>
  </r>
  <r>
    <x v="0"/>
    <s v="豊明市"/>
    <x v="45"/>
    <x v="4"/>
    <n v="5"/>
    <n v="0.39"/>
    <n v="0"/>
    <n v="0"/>
    <n v="5"/>
    <n v="0.72"/>
    <x v="0"/>
  </r>
  <r>
    <x v="0"/>
    <s v="豊明市"/>
    <x v="45"/>
    <x v="5"/>
    <n v="14"/>
    <n v="1.1000000000000001"/>
    <n v="4"/>
    <n v="0.7"/>
    <n v="10"/>
    <n v="1.43"/>
    <x v="0"/>
  </r>
  <r>
    <x v="0"/>
    <s v="豊明市"/>
    <x v="45"/>
    <x v="6"/>
    <n v="227"/>
    <n v="17.850000000000001"/>
    <n v="100"/>
    <n v="17.54"/>
    <n v="127"/>
    <n v="18.22"/>
    <x v="0"/>
  </r>
  <r>
    <x v="0"/>
    <s v="豊明市"/>
    <x v="45"/>
    <x v="7"/>
    <n v="7"/>
    <n v="0.55000000000000004"/>
    <n v="2"/>
    <n v="0.35"/>
    <n v="5"/>
    <n v="0.72"/>
    <x v="0"/>
  </r>
  <r>
    <x v="0"/>
    <s v="豊明市"/>
    <x v="45"/>
    <x v="8"/>
    <n v="147"/>
    <n v="11.56"/>
    <n v="57"/>
    <n v="10"/>
    <n v="90"/>
    <n v="12.91"/>
    <x v="0"/>
  </r>
  <r>
    <x v="0"/>
    <s v="豊明市"/>
    <x v="45"/>
    <x v="9"/>
    <n v="72"/>
    <n v="5.66"/>
    <n v="40"/>
    <n v="7.02"/>
    <n v="32"/>
    <n v="4.59"/>
    <x v="0"/>
  </r>
  <r>
    <x v="0"/>
    <s v="豊明市"/>
    <x v="45"/>
    <x v="10"/>
    <n v="97"/>
    <n v="7.63"/>
    <n v="72"/>
    <n v="12.63"/>
    <n v="25"/>
    <n v="3.59"/>
    <x v="0"/>
  </r>
  <r>
    <x v="0"/>
    <s v="豊明市"/>
    <x v="45"/>
    <x v="11"/>
    <n v="123"/>
    <n v="9.67"/>
    <n v="94"/>
    <n v="16.489999999999998"/>
    <n v="29"/>
    <n v="4.16"/>
    <x v="0"/>
  </r>
  <r>
    <x v="0"/>
    <s v="豊明市"/>
    <x v="45"/>
    <x v="12"/>
    <n v="59"/>
    <n v="4.6399999999999997"/>
    <n v="47"/>
    <n v="8.25"/>
    <n v="9"/>
    <n v="1.29"/>
    <x v="0"/>
  </r>
  <r>
    <x v="0"/>
    <s v="豊明市"/>
    <x v="45"/>
    <x v="13"/>
    <n v="71"/>
    <n v="5.58"/>
    <n v="43"/>
    <n v="7.54"/>
    <n v="27"/>
    <n v="3.87"/>
    <x v="0"/>
  </r>
  <r>
    <x v="0"/>
    <s v="豊明市"/>
    <x v="45"/>
    <x v="14"/>
    <n v="39"/>
    <n v="3.07"/>
    <n v="9"/>
    <n v="1.58"/>
    <n v="30"/>
    <n v="4.3"/>
    <x v="0"/>
  </r>
  <r>
    <x v="0"/>
    <s v="日進市"/>
    <x v="46"/>
    <x v="0"/>
    <n v="0"/>
    <n v="0"/>
    <n v="0"/>
    <n v="0"/>
    <n v="0"/>
    <n v="0"/>
    <x v="0"/>
  </r>
  <r>
    <x v="0"/>
    <s v="日進市"/>
    <x v="46"/>
    <x v="1"/>
    <n v="219"/>
    <n v="15.85"/>
    <n v="33"/>
    <n v="6.33"/>
    <n v="185"/>
    <n v="21.64"/>
    <x v="6"/>
  </r>
  <r>
    <x v="0"/>
    <s v="日進市"/>
    <x v="46"/>
    <x v="2"/>
    <n v="131"/>
    <n v="9.48"/>
    <n v="33"/>
    <n v="6.33"/>
    <n v="98"/>
    <n v="11.46"/>
    <x v="0"/>
  </r>
  <r>
    <x v="0"/>
    <s v="日進市"/>
    <x v="46"/>
    <x v="3"/>
    <n v="3"/>
    <n v="0.22"/>
    <n v="0"/>
    <n v="0"/>
    <n v="2"/>
    <n v="0.23"/>
    <x v="0"/>
  </r>
  <r>
    <x v="0"/>
    <s v="日進市"/>
    <x v="46"/>
    <x v="4"/>
    <n v="18"/>
    <n v="1.3"/>
    <n v="0"/>
    <n v="0"/>
    <n v="18"/>
    <n v="2.11"/>
    <x v="0"/>
  </r>
  <r>
    <x v="0"/>
    <s v="日進市"/>
    <x v="46"/>
    <x v="5"/>
    <n v="6"/>
    <n v="0.43"/>
    <n v="2"/>
    <n v="0.38"/>
    <n v="4"/>
    <n v="0.47"/>
    <x v="0"/>
  </r>
  <r>
    <x v="0"/>
    <s v="日進市"/>
    <x v="46"/>
    <x v="6"/>
    <n v="281"/>
    <n v="20.329999999999998"/>
    <n v="85"/>
    <n v="16.309999999999999"/>
    <n v="196"/>
    <n v="22.92"/>
    <x v="0"/>
  </r>
  <r>
    <x v="0"/>
    <s v="日進市"/>
    <x v="46"/>
    <x v="7"/>
    <n v="5"/>
    <n v="0.36"/>
    <n v="1"/>
    <n v="0.19"/>
    <n v="4"/>
    <n v="0.47"/>
    <x v="0"/>
  </r>
  <r>
    <x v="0"/>
    <s v="日進市"/>
    <x v="46"/>
    <x v="8"/>
    <n v="168"/>
    <n v="12.16"/>
    <n v="37"/>
    <n v="7.1"/>
    <n v="131"/>
    <n v="15.32"/>
    <x v="0"/>
  </r>
  <r>
    <x v="0"/>
    <s v="日進市"/>
    <x v="46"/>
    <x v="9"/>
    <n v="80"/>
    <n v="5.79"/>
    <n v="42"/>
    <n v="8.06"/>
    <n v="37"/>
    <n v="4.33"/>
    <x v="6"/>
  </r>
  <r>
    <x v="0"/>
    <s v="日進市"/>
    <x v="46"/>
    <x v="10"/>
    <n v="104"/>
    <n v="7.53"/>
    <n v="73"/>
    <n v="14.01"/>
    <n v="30"/>
    <n v="3.51"/>
    <x v="0"/>
  </r>
  <r>
    <x v="0"/>
    <s v="日進市"/>
    <x v="46"/>
    <x v="11"/>
    <n v="158"/>
    <n v="11.43"/>
    <n v="108"/>
    <n v="20.73"/>
    <n v="50"/>
    <n v="5.85"/>
    <x v="0"/>
  </r>
  <r>
    <x v="0"/>
    <s v="日進市"/>
    <x v="46"/>
    <x v="12"/>
    <n v="80"/>
    <n v="5.79"/>
    <n v="49"/>
    <n v="9.4"/>
    <n v="30"/>
    <n v="3.51"/>
    <x v="0"/>
  </r>
  <r>
    <x v="0"/>
    <s v="日進市"/>
    <x v="46"/>
    <x v="13"/>
    <n v="73"/>
    <n v="5.28"/>
    <n v="45"/>
    <n v="8.64"/>
    <n v="28"/>
    <n v="3.27"/>
    <x v="0"/>
  </r>
  <r>
    <x v="0"/>
    <s v="日進市"/>
    <x v="46"/>
    <x v="14"/>
    <n v="56"/>
    <n v="4.05"/>
    <n v="13"/>
    <n v="2.5"/>
    <n v="42"/>
    <n v="4.91"/>
    <x v="0"/>
  </r>
  <r>
    <x v="0"/>
    <s v="田原市"/>
    <x v="47"/>
    <x v="0"/>
    <n v="1"/>
    <n v="0.08"/>
    <n v="0"/>
    <n v="0"/>
    <n v="1"/>
    <n v="0.2"/>
    <x v="0"/>
  </r>
  <r>
    <x v="0"/>
    <s v="田原市"/>
    <x v="47"/>
    <x v="1"/>
    <n v="193"/>
    <n v="15.72"/>
    <n v="73"/>
    <n v="10.44"/>
    <n v="120"/>
    <n v="24"/>
    <x v="0"/>
  </r>
  <r>
    <x v="0"/>
    <s v="田原市"/>
    <x v="47"/>
    <x v="2"/>
    <n v="78"/>
    <n v="6.35"/>
    <n v="28"/>
    <n v="4.01"/>
    <n v="50"/>
    <n v="10"/>
    <x v="0"/>
  </r>
  <r>
    <x v="0"/>
    <s v="田原市"/>
    <x v="47"/>
    <x v="3"/>
    <n v="1"/>
    <n v="0.08"/>
    <n v="0"/>
    <n v="0"/>
    <n v="1"/>
    <n v="0.2"/>
    <x v="0"/>
  </r>
  <r>
    <x v="0"/>
    <s v="田原市"/>
    <x v="47"/>
    <x v="4"/>
    <n v="2"/>
    <n v="0.16"/>
    <n v="0"/>
    <n v="0"/>
    <n v="2"/>
    <n v="0.4"/>
    <x v="0"/>
  </r>
  <r>
    <x v="0"/>
    <s v="田原市"/>
    <x v="47"/>
    <x v="5"/>
    <n v="12"/>
    <n v="0.98"/>
    <n v="3"/>
    <n v="0.43"/>
    <n v="9"/>
    <n v="1.8"/>
    <x v="0"/>
  </r>
  <r>
    <x v="0"/>
    <s v="田原市"/>
    <x v="47"/>
    <x v="6"/>
    <n v="372"/>
    <n v="30.29"/>
    <n v="197"/>
    <n v="28.18"/>
    <n v="175"/>
    <n v="35"/>
    <x v="0"/>
  </r>
  <r>
    <x v="0"/>
    <s v="田原市"/>
    <x v="47"/>
    <x v="7"/>
    <n v="3"/>
    <n v="0.24"/>
    <n v="2"/>
    <n v="0.28999999999999998"/>
    <n v="1"/>
    <n v="0.2"/>
    <x v="0"/>
  </r>
  <r>
    <x v="0"/>
    <s v="田原市"/>
    <x v="47"/>
    <x v="8"/>
    <n v="36"/>
    <n v="2.93"/>
    <n v="10"/>
    <n v="1.43"/>
    <n v="25"/>
    <n v="5"/>
    <x v="0"/>
  </r>
  <r>
    <x v="0"/>
    <s v="田原市"/>
    <x v="47"/>
    <x v="9"/>
    <n v="35"/>
    <n v="2.85"/>
    <n v="21"/>
    <n v="3"/>
    <n v="14"/>
    <n v="2.8"/>
    <x v="0"/>
  </r>
  <r>
    <x v="0"/>
    <s v="田原市"/>
    <x v="47"/>
    <x v="10"/>
    <n v="188"/>
    <n v="15.31"/>
    <n v="141"/>
    <n v="20.170000000000002"/>
    <n v="46"/>
    <n v="9.1999999999999993"/>
    <x v="0"/>
  </r>
  <r>
    <x v="0"/>
    <s v="田原市"/>
    <x v="47"/>
    <x v="11"/>
    <n v="163"/>
    <n v="13.27"/>
    <n v="140"/>
    <n v="20.03"/>
    <n v="22"/>
    <n v="4.4000000000000004"/>
    <x v="0"/>
  </r>
  <r>
    <x v="0"/>
    <s v="田原市"/>
    <x v="47"/>
    <x v="12"/>
    <n v="43"/>
    <n v="3.5"/>
    <n v="34"/>
    <n v="4.8600000000000003"/>
    <n v="6"/>
    <n v="1.2"/>
    <x v="0"/>
  </r>
  <r>
    <x v="0"/>
    <s v="田原市"/>
    <x v="47"/>
    <x v="13"/>
    <n v="39"/>
    <n v="3.18"/>
    <n v="32"/>
    <n v="4.58"/>
    <n v="6"/>
    <n v="1.2"/>
    <x v="0"/>
  </r>
  <r>
    <x v="0"/>
    <s v="田原市"/>
    <x v="47"/>
    <x v="14"/>
    <n v="62"/>
    <n v="5.05"/>
    <n v="18"/>
    <n v="2.58"/>
    <n v="22"/>
    <n v="4.4000000000000004"/>
    <x v="0"/>
  </r>
  <r>
    <x v="0"/>
    <s v="愛西市"/>
    <x v="48"/>
    <x v="0"/>
    <n v="2"/>
    <n v="0.17"/>
    <n v="0"/>
    <n v="0"/>
    <n v="2"/>
    <n v="0.36"/>
    <x v="0"/>
  </r>
  <r>
    <x v="0"/>
    <s v="愛西市"/>
    <x v="48"/>
    <x v="1"/>
    <n v="214"/>
    <n v="17.91"/>
    <n v="79"/>
    <n v="12.38"/>
    <n v="135"/>
    <n v="24.41"/>
    <x v="0"/>
  </r>
  <r>
    <x v="0"/>
    <s v="愛西市"/>
    <x v="48"/>
    <x v="2"/>
    <n v="238"/>
    <n v="19.920000000000002"/>
    <n v="109"/>
    <n v="17.079999999999998"/>
    <n v="129"/>
    <n v="23.33"/>
    <x v="0"/>
  </r>
  <r>
    <x v="0"/>
    <s v="愛西市"/>
    <x v="48"/>
    <x v="3"/>
    <n v="5"/>
    <n v="0.42"/>
    <n v="1"/>
    <n v="0.16"/>
    <n v="4"/>
    <n v="0.72"/>
    <x v="0"/>
  </r>
  <r>
    <x v="0"/>
    <s v="愛西市"/>
    <x v="48"/>
    <x v="4"/>
    <n v="6"/>
    <n v="0.5"/>
    <n v="0"/>
    <n v="0"/>
    <n v="6"/>
    <n v="1.08"/>
    <x v="0"/>
  </r>
  <r>
    <x v="0"/>
    <s v="愛西市"/>
    <x v="48"/>
    <x v="5"/>
    <n v="22"/>
    <n v="1.84"/>
    <n v="2"/>
    <n v="0.31"/>
    <n v="20"/>
    <n v="3.62"/>
    <x v="0"/>
  </r>
  <r>
    <x v="0"/>
    <s v="愛西市"/>
    <x v="48"/>
    <x v="6"/>
    <n v="215"/>
    <n v="17.989999999999998"/>
    <n v="115"/>
    <n v="18.03"/>
    <n v="100"/>
    <n v="18.079999999999998"/>
    <x v="0"/>
  </r>
  <r>
    <x v="0"/>
    <s v="愛西市"/>
    <x v="48"/>
    <x v="7"/>
    <n v="7"/>
    <n v="0.59"/>
    <n v="2"/>
    <n v="0.31"/>
    <n v="5"/>
    <n v="0.9"/>
    <x v="0"/>
  </r>
  <r>
    <x v="0"/>
    <s v="愛西市"/>
    <x v="48"/>
    <x v="8"/>
    <n v="75"/>
    <n v="6.28"/>
    <n v="30"/>
    <n v="4.7"/>
    <n v="45"/>
    <n v="8.14"/>
    <x v="0"/>
  </r>
  <r>
    <x v="0"/>
    <s v="愛西市"/>
    <x v="48"/>
    <x v="9"/>
    <n v="37"/>
    <n v="3.1"/>
    <n v="20"/>
    <n v="3.13"/>
    <n v="17"/>
    <n v="3.07"/>
    <x v="0"/>
  </r>
  <r>
    <x v="0"/>
    <s v="愛西市"/>
    <x v="48"/>
    <x v="10"/>
    <n v="109"/>
    <n v="9.1199999999999992"/>
    <n v="85"/>
    <n v="13.32"/>
    <n v="23"/>
    <n v="4.16"/>
    <x v="0"/>
  </r>
  <r>
    <x v="0"/>
    <s v="愛西市"/>
    <x v="48"/>
    <x v="11"/>
    <n v="112"/>
    <n v="9.3699999999999992"/>
    <n v="89"/>
    <n v="13.95"/>
    <n v="22"/>
    <n v="3.98"/>
    <x v="6"/>
  </r>
  <r>
    <x v="0"/>
    <s v="愛西市"/>
    <x v="48"/>
    <x v="12"/>
    <n v="47"/>
    <n v="3.93"/>
    <n v="40"/>
    <n v="6.27"/>
    <n v="6"/>
    <n v="1.08"/>
    <x v="0"/>
  </r>
  <r>
    <x v="0"/>
    <s v="愛西市"/>
    <x v="48"/>
    <x v="13"/>
    <n v="55"/>
    <n v="4.5999999999999996"/>
    <n v="40"/>
    <n v="6.27"/>
    <n v="15"/>
    <n v="2.71"/>
    <x v="0"/>
  </r>
  <r>
    <x v="0"/>
    <s v="愛西市"/>
    <x v="48"/>
    <x v="14"/>
    <n v="51"/>
    <n v="4.2699999999999996"/>
    <n v="26"/>
    <n v="4.08"/>
    <n v="24"/>
    <n v="4.34"/>
    <x v="6"/>
  </r>
  <r>
    <x v="0"/>
    <s v="清須市"/>
    <x v="49"/>
    <x v="0"/>
    <n v="0"/>
    <n v="0"/>
    <n v="0"/>
    <n v="0"/>
    <n v="0"/>
    <n v="0"/>
    <x v="0"/>
  </r>
  <r>
    <x v="0"/>
    <s v="清須市"/>
    <x v="49"/>
    <x v="1"/>
    <n v="226"/>
    <n v="15.17"/>
    <n v="37"/>
    <n v="5.99"/>
    <n v="189"/>
    <n v="22"/>
    <x v="0"/>
  </r>
  <r>
    <x v="0"/>
    <s v="清須市"/>
    <x v="49"/>
    <x v="2"/>
    <n v="287"/>
    <n v="19.260000000000002"/>
    <n v="70"/>
    <n v="11.33"/>
    <n v="217"/>
    <n v="25.26"/>
    <x v="0"/>
  </r>
  <r>
    <x v="0"/>
    <s v="清須市"/>
    <x v="49"/>
    <x v="3"/>
    <n v="0"/>
    <n v="0"/>
    <n v="0"/>
    <n v="0"/>
    <n v="0"/>
    <n v="0"/>
    <x v="0"/>
  </r>
  <r>
    <x v="0"/>
    <s v="清須市"/>
    <x v="49"/>
    <x v="4"/>
    <n v="9"/>
    <n v="0.6"/>
    <n v="0"/>
    <n v="0"/>
    <n v="9"/>
    <n v="1.05"/>
    <x v="0"/>
  </r>
  <r>
    <x v="0"/>
    <s v="清須市"/>
    <x v="49"/>
    <x v="5"/>
    <n v="19"/>
    <n v="1.28"/>
    <n v="1"/>
    <n v="0.16"/>
    <n v="18"/>
    <n v="2.1"/>
    <x v="0"/>
  </r>
  <r>
    <x v="0"/>
    <s v="清須市"/>
    <x v="49"/>
    <x v="6"/>
    <n v="324"/>
    <n v="21.74"/>
    <n v="141"/>
    <n v="22.82"/>
    <n v="183"/>
    <n v="21.3"/>
    <x v="0"/>
  </r>
  <r>
    <x v="0"/>
    <s v="清須市"/>
    <x v="49"/>
    <x v="7"/>
    <n v="5"/>
    <n v="0.34"/>
    <n v="1"/>
    <n v="0.16"/>
    <n v="4"/>
    <n v="0.47"/>
    <x v="0"/>
  </r>
  <r>
    <x v="0"/>
    <s v="清須市"/>
    <x v="49"/>
    <x v="8"/>
    <n v="127"/>
    <n v="8.52"/>
    <n v="26"/>
    <n v="4.21"/>
    <n v="101"/>
    <n v="11.76"/>
    <x v="0"/>
  </r>
  <r>
    <x v="0"/>
    <s v="清須市"/>
    <x v="49"/>
    <x v="9"/>
    <n v="62"/>
    <n v="4.16"/>
    <n v="34"/>
    <n v="5.5"/>
    <n v="28"/>
    <n v="3.26"/>
    <x v="0"/>
  </r>
  <r>
    <x v="0"/>
    <s v="清須市"/>
    <x v="49"/>
    <x v="10"/>
    <n v="126"/>
    <n v="8.4600000000000009"/>
    <n v="106"/>
    <n v="17.149999999999999"/>
    <n v="20"/>
    <n v="2.33"/>
    <x v="0"/>
  </r>
  <r>
    <x v="0"/>
    <s v="清須市"/>
    <x v="49"/>
    <x v="11"/>
    <n v="135"/>
    <n v="9.06"/>
    <n v="103"/>
    <n v="16.670000000000002"/>
    <n v="30"/>
    <n v="3.49"/>
    <x v="0"/>
  </r>
  <r>
    <x v="0"/>
    <s v="清須市"/>
    <x v="49"/>
    <x v="12"/>
    <n v="43"/>
    <n v="2.89"/>
    <n v="36"/>
    <n v="5.83"/>
    <n v="5"/>
    <n v="0.57999999999999996"/>
    <x v="6"/>
  </r>
  <r>
    <x v="0"/>
    <s v="清須市"/>
    <x v="49"/>
    <x v="13"/>
    <n v="65"/>
    <n v="4.3600000000000003"/>
    <n v="44"/>
    <n v="7.12"/>
    <n v="15"/>
    <n v="1.75"/>
    <x v="0"/>
  </r>
  <r>
    <x v="0"/>
    <s v="清須市"/>
    <x v="49"/>
    <x v="14"/>
    <n v="62"/>
    <n v="4.16"/>
    <n v="19"/>
    <n v="3.07"/>
    <n v="40"/>
    <n v="4.66"/>
    <x v="6"/>
  </r>
  <r>
    <x v="0"/>
    <s v="北名古屋市"/>
    <x v="50"/>
    <x v="0"/>
    <n v="0"/>
    <n v="0"/>
    <n v="0"/>
    <n v="0"/>
    <n v="0"/>
    <n v="0"/>
    <x v="0"/>
  </r>
  <r>
    <x v="0"/>
    <s v="北名古屋市"/>
    <x v="50"/>
    <x v="1"/>
    <n v="297"/>
    <n v="16.920000000000002"/>
    <n v="66"/>
    <n v="8.1999999999999993"/>
    <n v="231"/>
    <n v="24.55"/>
    <x v="0"/>
  </r>
  <r>
    <x v="0"/>
    <s v="北名古屋市"/>
    <x v="50"/>
    <x v="2"/>
    <n v="314"/>
    <n v="17.89"/>
    <n v="111"/>
    <n v="13.79"/>
    <n v="203"/>
    <n v="21.57"/>
    <x v="0"/>
  </r>
  <r>
    <x v="0"/>
    <s v="北名古屋市"/>
    <x v="50"/>
    <x v="3"/>
    <n v="1"/>
    <n v="0.06"/>
    <n v="0"/>
    <n v="0"/>
    <n v="1"/>
    <n v="0.11"/>
    <x v="0"/>
  </r>
  <r>
    <x v="0"/>
    <s v="北名古屋市"/>
    <x v="50"/>
    <x v="4"/>
    <n v="10"/>
    <n v="0.56999999999999995"/>
    <n v="1"/>
    <n v="0.12"/>
    <n v="9"/>
    <n v="0.96"/>
    <x v="0"/>
  </r>
  <r>
    <x v="0"/>
    <s v="北名古屋市"/>
    <x v="50"/>
    <x v="5"/>
    <n v="36"/>
    <n v="2.0499999999999998"/>
    <n v="3"/>
    <n v="0.37"/>
    <n v="33"/>
    <n v="3.51"/>
    <x v="0"/>
  </r>
  <r>
    <x v="0"/>
    <s v="北名古屋市"/>
    <x v="50"/>
    <x v="6"/>
    <n v="328"/>
    <n v="18.690000000000001"/>
    <n v="136"/>
    <n v="16.89"/>
    <n v="192"/>
    <n v="20.399999999999999"/>
    <x v="0"/>
  </r>
  <r>
    <x v="0"/>
    <s v="北名古屋市"/>
    <x v="50"/>
    <x v="7"/>
    <n v="7"/>
    <n v="0.4"/>
    <n v="2"/>
    <n v="0.25"/>
    <n v="5"/>
    <n v="0.53"/>
    <x v="0"/>
  </r>
  <r>
    <x v="0"/>
    <s v="北名古屋市"/>
    <x v="50"/>
    <x v="8"/>
    <n v="162"/>
    <n v="9.23"/>
    <n v="76"/>
    <n v="9.44"/>
    <n v="86"/>
    <n v="9.14"/>
    <x v="0"/>
  </r>
  <r>
    <x v="0"/>
    <s v="北名古屋市"/>
    <x v="50"/>
    <x v="9"/>
    <n v="67"/>
    <n v="3.82"/>
    <n v="35"/>
    <n v="4.3499999999999996"/>
    <n v="32"/>
    <n v="3.4"/>
    <x v="0"/>
  </r>
  <r>
    <x v="0"/>
    <s v="北名古屋市"/>
    <x v="50"/>
    <x v="10"/>
    <n v="144"/>
    <n v="8.2100000000000009"/>
    <n v="124"/>
    <n v="15.4"/>
    <n v="20"/>
    <n v="2.13"/>
    <x v="0"/>
  </r>
  <r>
    <x v="0"/>
    <s v="北名古屋市"/>
    <x v="50"/>
    <x v="11"/>
    <n v="160"/>
    <n v="9.1199999999999992"/>
    <n v="121"/>
    <n v="15.03"/>
    <n v="39"/>
    <n v="4.1399999999999997"/>
    <x v="0"/>
  </r>
  <r>
    <x v="0"/>
    <s v="北名古屋市"/>
    <x v="50"/>
    <x v="12"/>
    <n v="71"/>
    <n v="4.05"/>
    <n v="50"/>
    <n v="6.21"/>
    <n v="20"/>
    <n v="2.13"/>
    <x v="0"/>
  </r>
  <r>
    <x v="0"/>
    <s v="北名古屋市"/>
    <x v="50"/>
    <x v="13"/>
    <n v="78"/>
    <n v="4.4400000000000004"/>
    <n v="44"/>
    <n v="5.47"/>
    <n v="26"/>
    <n v="2.76"/>
    <x v="0"/>
  </r>
  <r>
    <x v="0"/>
    <s v="北名古屋市"/>
    <x v="50"/>
    <x v="14"/>
    <n v="80"/>
    <n v="4.5599999999999996"/>
    <n v="36"/>
    <n v="4.47"/>
    <n v="44"/>
    <n v="4.68"/>
    <x v="0"/>
  </r>
  <r>
    <x v="0"/>
    <s v="弥富市"/>
    <x v="51"/>
    <x v="0"/>
    <n v="0"/>
    <n v="0"/>
    <n v="0"/>
    <n v="0"/>
    <n v="0"/>
    <n v="0"/>
    <x v="0"/>
  </r>
  <r>
    <x v="0"/>
    <s v="弥富市"/>
    <x v="51"/>
    <x v="1"/>
    <n v="135"/>
    <n v="13.22"/>
    <n v="47"/>
    <n v="9.27"/>
    <n v="88"/>
    <n v="17.96"/>
    <x v="0"/>
  </r>
  <r>
    <x v="0"/>
    <s v="弥富市"/>
    <x v="51"/>
    <x v="2"/>
    <n v="178"/>
    <n v="17.43"/>
    <n v="59"/>
    <n v="11.64"/>
    <n v="119"/>
    <n v="24.29"/>
    <x v="0"/>
  </r>
  <r>
    <x v="0"/>
    <s v="弥富市"/>
    <x v="51"/>
    <x v="3"/>
    <n v="0"/>
    <n v="0"/>
    <n v="0"/>
    <n v="0"/>
    <n v="0"/>
    <n v="0"/>
    <x v="0"/>
  </r>
  <r>
    <x v="0"/>
    <s v="弥富市"/>
    <x v="51"/>
    <x v="4"/>
    <n v="6"/>
    <n v="0.59"/>
    <n v="0"/>
    <n v="0"/>
    <n v="6"/>
    <n v="1.22"/>
    <x v="0"/>
  </r>
  <r>
    <x v="0"/>
    <s v="弥富市"/>
    <x v="51"/>
    <x v="5"/>
    <n v="36"/>
    <n v="3.53"/>
    <n v="0"/>
    <n v="0"/>
    <n v="36"/>
    <n v="7.35"/>
    <x v="0"/>
  </r>
  <r>
    <x v="0"/>
    <s v="弥富市"/>
    <x v="51"/>
    <x v="6"/>
    <n v="192"/>
    <n v="18.809999999999999"/>
    <n v="89"/>
    <n v="17.55"/>
    <n v="103"/>
    <n v="21.02"/>
    <x v="0"/>
  </r>
  <r>
    <x v="0"/>
    <s v="弥富市"/>
    <x v="51"/>
    <x v="7"/>
    <n v="4"/>
    <n v="0.39"/>
    <n v="0"/>
    <n v="0"/>
    <n v="4"/>
    <n v="0.82"/>
    <x v="0"/>
  </r>
  <r>
    <x v="0"/>
    <s v="弥富市"/>
    <x v="51"/>
    <x v="8"/>
    <n v="81"/>
    <n v="7.93"/>
    <n v="44"/>
    <n v="8.68"/>
    <n v="37"/>
    <n v="7.55"/>
    <x v="0"/>
  </r>
  <r>
    <x v="0"/>
    <s v="弥富市"/>
    <x v="51"/>
    <x v="9"/>
    <n v="32"/>
    <n v="3.13"/>
    <n v="21"/>
    <n v="4.1399999999999997"/>
    <n v="9"/>
    <n v="1.84"/>
    <x v="0"/>
  </r>
  <r>
    <x v="0"/>
    <s v="弥富市"/>
    <x v="51"/>
    <x v="10"/>
    <n v="89"/>
    <n v="8.7200000000000006"/>
    <n v="61"/>
    <n v="12.03"/>
    <n v="27"/>
    <n v="5.51"/>
    <x v="0"/>
  </r>
  <r>
    <x v="0"/>
    <s v="弥富市"/>
    <x v="51"/>
    <x v="11"/>
    <n v="131"/>
    <n v="12.83"/>
    <n v="109"/>
    <n v="21.5"/>
    <n v="22"/>
    <n v="4.49"/>
    <x v="0"/>
  </r>
  <r>
    <x v="0"/>
    <s v="弥富市"/>
    <x v="51"/>
    <x v="12"/>
    <n v="46"/>
    <n v="4.51"/>
    <n v="36"/>
    <n v="7.1"/>
    <n v="7"/>
    <n v="1.43"/>
    <x v="0"/>
  </r>
  <r>
    <x v="0"/>
    <s v="弥富市"/>
    <x v="51"/>
    <x v="13"/>
    <n v="47"/>
    <n v="4.5999999999999996"/>
    <n v="24"/>
    <n v="4.7300000000000004"/>
    <n v="10"/>
    <n v="2.04"/>
    <x v="0"/>
  </r>
  <r>
    <x v="0"/>
    <s v="弥富市"/>
    <x v="51"/>
    <x v="14"/>
    <n v="44"/>
    <n v="4.3099999999999996"/>
    <n v="17"/>
    <n v="3.35"/>
    <n v="22"/>
    <n v="4.49"/>
    <x v="0"/>
  </r>
  <r>
    <x v="0"/>
    <s v="みよし市"/>
    <x v="52"/>
    <x v="0"/>
    <n v="0"/>
    <n v="0"/>
    <n v="0"/>
    <n v="0"/>
    <n v="0"/>
    <n v="0"/>
    <x v="0"/>
  </r>
  <r>
    <x v="0"/>
    <s v="みよし市"/>
    <x v="52"/>
    <x v="1"/>
    <n v="142"/>
    <n v="15.3"/>
    <n v="28"/>
    <n v="6.8"/>
    <n v="113"/>
    <n v="23.4"/>
    <x v="6"/>
  </r>
  <r>
    <x v="0"/>
    <s v="みよし市"/>
    <x v="52"/>
    <x v="2"/>
    <n v="142"/>
    <n v="15.3"/>
    <n v="43"/>
    <n v="10.44"/>
    <n v="99"/>
    <n v="20.5"/>
    <x v="0"/>
  </r>
  <r>
    <x v="0"/>
    <s v="みよし市"/>
    <x v="52"/>
    <x v="3"/>
    <n v="0"/>
    <n v="0"/>
    <n v="0"/>
    <n v="0"/>
    <n v="0"/>
    <n v="0"/>
    <x v="0"/>
  </r>
  <r>
    <x v="0"/>
    <s v="みよし市"/>
    <x v="52"/>
    <x v="4"/>
    <n v="2"/>
    <n v="0.22"/>
    <n v="0"/>
    <n v="0"/>
    <n v="2"/>
    <n v="0.41"/>
    <x v="0"/>
  </r>
  <r>
    <x v="0"/>
    <s v="みよし市"/>
    <x v="52"/>
    <x v="5"/>
    <n v="5"/>
    <n v="0.54"/>
    <n v="1"/>
    <n v="0.24"/>
    <n v="4"/>
    <n v="0.83"/>
    <x v="0"/>
  </r>
  <r>
    <x v="0"/>
    <s v="みよし市"/>
    <x v="52"/>
    <x v="6"/>
    <n v="138"/>
    <n v="14.87"/>
    <n v="49"/>
    <n v="11.89"/>
    <n v="89"/>
    <n v="18.43"/>
    <x v="0"/>
  </r>
  <r>
    <x v="0"/>
    <s v="みよし市"/>
    <x v="52"/>
    <x v="7"/>
    <n v="6"/>
    <n v="0.65"/>
    <n v="0"/>
    <n v="0"/>
    <n v="6"/>
    <n v="1.24"/>
    <x v="0"/>
  </r>
  <r>
    <x v="0"/>
    <s v="みよし市"/>
    <x v="52"/>
    <x v="8"/>
    <n v="132"/>
    <n v="14.22"/>
    <n v="71"/>
    <n v="17.23"/>
    <n v="61"/>
    <n v="12.63"/>
    <x v="0"/>
  </r>
  <r>
    <x v="0"/>
    <s v="みよし市"/>
    <x v="52"/>
    <x v="9"/>
    <n v="31"/>
    <n v="3.34"/>
    <n v="16"/>
    <n v="3.88"/>
    <n v="15"/>
    <n v="3.11"/>
    <x v="0"/>
  </r>
  <r>
    <x v="0"/>
    <s v="みよし市"/>
    <x v="52"/>
    <x v="10"/>
    <n v="81"/>
    <n v="8.73"/>
    <n v="58"/>
    <n v="14.08"/>
    <n v="23"/>
    <n v="4.76"/>
    <x v="0"/>
  </r>
  <r>
    <x v="0"/>
    <s v="みよし市"/>
    <x v="52"/>
    <x v="11"/>
    <n v="98"/>
    <n v="10.56"/>
    <n v="70"/>
    <n v="16.989999999999998"/>
    <n v="27"/>
    <n v="5.59"/>
    <x v="0"/>
  </r>
  <r>
    <x v="0"/>
    <s v="みよし市"/>
    <x v="52"/>
    <x v="12"/>
    <n v="42"/>
    <n v="4.53"/>
    <n v="30"/>
    <n v="7.28"/>
    <n v="11"/>
    <n v="2.2799999999999998"/>
    <x v="0"/>
  </r>
  <r>
    <x v="0"/>
    <s v="みよし市"/>
    <x v="52"/>
    <x v="13"/>
    <n v="70"/>
    <n v="7.54"/>
    <n v="34"/>
    <n v="8.25"/>
    <n v="9"/>
    <n v="1.86"/>
    <x v="18"/>
  </r>
  <r>
    <x v="0"/>
    <s v="みよし市"/>
    <x v="52"/>
    <x v="14"/>
    <n v="39"/>
    <n v="4.2"/>
    <n v="12"/>
    <n v="2.91"/>
    <n v="24"/>
    <n v="4.97"/>
    <x v="6"/>
  </r>
  <r>
    <x v="0"/>
    <s v="あま市"/>
    <x v="53"/>
    <x v="0"/>
    <n v="0"/>
    <n v="0"/>
    <n v="0"/>
    <n v="0"/>
    <n v="0"/>
    <n v="0"/>
    <x v="0"/>
  </r>
  <r>
    <x v="0"/>
    <s v="あま市"/>
    <x v="53"/>
    <x v="1"/>
    <n v="290"/>
    <n v="19.23"/>
    <n v="42"/>
    <n v="6.47"/>
    <n v="248"/>
    <n v="29.35"/>
    <x v="0"/>
  </r>
  <r>
    <x v="0"/>
    <s v="あま市"/>
    <x v="53"/>
    <x v="2"/>
    <n v="314"/>
    <n v="20.82"/>
    <n v="106"/>
    <n v="16.329999999999998"/>
    <n v="208"/>
    <n v="24.62"/>
    <x v="0"/>
  </r>
  <r>
    <x v="0"/>
    <s v="あま市"/>
    <x v="53"/>
    <x v="3"/>
    <n v="0"/>
    <n v="0"/>
    <n v="0"/>
    <n v="0"/>
    <n v="0"/>
    <n v="0"/>
    <x v="0"/>
  </r>
  <r>
    <x v="0"/>
    <s v="あま市"/>
    <x v="53"/>
    <x v="4"/>
    <n v="10"/>
    <n v="0.66"/>
    <n v="0"/>
    <n v="0"/>
    <n v="10"/>
    <n v="1.18"/>
    <x v="0"/>
  </r>
  <r>
    <x v="0"/>
    <s v="あま市"/>
    <x v="53"/>
    <x v="5"/>
    <n v="9"/>
    <n v="0.6"/>
    <n v="0"/>
    <n v="0"/>
    <n v="9"/>
    <n v="1.07"/>
    <x v="0"/>
  </r>
  <r>
    <x v="0"/>
    <s v="あま市"/>
    <x v="53"/>
    <x v="6"/>
    <n v="277"/>
    <n v="18.37"/>
    <n v="119"/>
    <n v="18.34"/>
    <n v="158"/>
    <n v="18.7"/>
    <x v="0"/>
  </r>
  <r>
    <x v="0"/>
    <s v="あま市"/>
    <x v="53"/>
    <x v="7"/>
    <n v="5"/>
    <n v="0.33"/>
    <n v="0"/>
    <n v="0"/>
    <n v="5"/>
    <n v="0.59"/>
    <x v="0"/>
  </r>
  <r>
    <x v="0"/>
    <s v="あま市"/>
    <x v="53"/>
    <x v="8"/>
    <n v="133"/>
    <n v="8.82"/>
    <n v="64"/>
    <n v="9.86"/>
    <n v="69"/>
    <n v="8.17"/>
    <x v="0"/>
  </r>
  <r>
    <x v="0"/>
    <s v="あま市"/>
    <x v="53"/>
    <x v="9"/>
    <n v="52"/>
    <n v="3.45"/>
    <n v="23"/>
    <n v="3.54"/>
    <n v="29"/>
    <n v="3.43"/>
    <x v="0"/>
  </r>
  <r>
    <x v="0"/>
    <s v="あま市"/>
    <x v="53"/>
    <x v="10"/>
    <n v="102"/>
    <n v="6.76"/>
    <n v="84"/>
    <n v="12.94"/>
    <n v="18"/>
    <n v="2.13"/>
    <x v="0"/>
  </r>
  <r>
    <x v="0"/>
    <s v="あま市"/>
    <x v="53"/>
    <x v="11"/>
    <n v="153"/>
    <n v="10.15"/>
    <n v="124"/>
    <n v="19.11"/>
    <n v="29"/>
    <n v="3.43"/>
    <x v="0"/>
  </r>
  <r>
    <x v="0"/>
    <s v="あま市"/>
    <x v="53"/>
    <x v="12"/>
    <n v="50"/>
    <n v="3.32"/>
    <n v="34"/>
    <n v="5.24"/>
    <n v="14"/>
    <n v="1.66"/>
    <x v="0"/>
  </r>
  <r>
    <x v="0"/>
    <s v="あま市"/>
    <x v="53"/>
    <x v="13"/>
    <n v="72"/>
    <n v="4.7699999999999996"/>
    <n v="38"/>
    <n v="5.86"/>
    <n v="23"/>
    <n v="2.72"/>
    <x v="0"/>
  </r>
  <r>
    <x v="0"/>
    <s v="あま市"/>
    <x v="53"/>
    <x v="14"/>
    <n v="41"/>
    <n v="2.72"/>
    <n v="15"/>
    <n v="2.31"/>
    <n v="25"/>
    <n v="2.96"/>
    <x v="6"/>
  </r>
  <r>
    <x v="0"/>
    <s v="長久手市"/>
    <x v="54"/>
    <x v="0"/>
    <n v="1"/>
    <n v="0.11"/>
    <n v="0"/>
    <n v="0"/>
    <n v="1"/>
    <n v="0.17"/>
    <x v="0"/>
  </r>
  <r>
    <x v="0"/>
    <s v="長久手市"/>
    <x v="54"/>
    <x v="1"/>
    <n v="146"/>
    <n v="15.42"/>
    <n v="20"/>
    <n v="5.68"/>
    <n v="126"/>
    <n v="21.28"/>
    <x v="0"/>
  </r>
  <r>
    <x v="0"/>
    <s v="長久手市"/>
    <x v="54"/>
    <x v="2"/>
    <n v="49"/>
    <n v="5.17"/>
    <n v="17"/>
    <n v="4.83"/>
    <n v="32"/>
    <n v="5.41"/>
    <x v="0"/>
  </r>
  <r>
    <x v="0"/>
    <s v="長久手市"/>
    <x v="54"/>
    <x v="3"/>
    <n v="0"/>
    <n v="0"/>
    <n v="0"/>
    <n v="0"/>
    <n v="0"/>
    <n v="0"/>
    <x v="0"/>
  </r>
  <r>
    <x v="0"/>
    <s v="長久手市"/>
    <x v="54"/>
    <x v="4"/>
    <n v="9"/>
    <n v="0.95"/>
    <n v="0"/>
    <n v="0"/>
    <n v="9"/>
    <n v="1.52"/>
    <x v="0"/>
  </r>
  <r>
    <x v="0"/>
    <s v="長久手市"/>
    <x v="54"/>
    <x v="5"/>
    <n v="5"/>
    <n v="0.53"/>
    <n v="1"/>
    <n v="0.28000000000000003"/>
    <n v="4"/>
    <n v="0.68"/>
    <x v="0"/>
  </r>
  <r>
    <x v="0"/>
    <s v="長久手市"/>
    <x v="54"/>
    <x v="6"/>
    <n v="212"/>
    <n v="22.39"/>
    <n v="50"/>
    <n v="14.2"/>
    <n v="162"/>
    <n v="27.36"/>
    <x v="0"/>
  </r>
  <r>
    <x v="0"/>
    <s v="長久手市"/>
    <x v="54"/>
    <x v="7"/>
    <n v="5"/>
    <n v="0.53"/>
    <n v="1"/>
    <n v="0.28000000000000003"/>
    <n v="4"/>
    <n v="0.68"/>
    <x v="0"/>
  </r>
  <r>
    <x v="0"/>
    <s v="長久手市"/>
    <x v="54"/>
    <x v="8"/>
    <n v="139"/>
    <n v="14.68"/>
    <n v="50"/>
    <n v="14.2"/>
    <n v="89"/>
    <n v="15.03"/>
    <x v="0"/>
  </r>
  <r>
    <x v="0"/>
    <s v="長久手市"/>
    <x v="54"/>
    <x v="9"/>
    <n v="65"/>
    <n v="6.86"/>
    <n v="24"/>
    <n v="6.82"/>
    <n v="41"/>
    <n v="6.93"/>
    <x v="0"/>
  </r>
  <r>
    <x v="0"/>
    <s v="長久手市"/>
    <x v="54"/>
    <x v="10"/>
    <n v="67"/>
    <n v="7.07"/>
    <n v="41"/>
    <n v="11.65"/>
    <n v="25"/>
    <n v="4.22"/>
    <x v="6"/>
  </r>
  <r>
    <x v="0"/>
    <s v="長久手市"/>
    <x v="54"/>
    <x v="11"/>
    <n v="105"/>
    <n v="11.09"/>
    <n v="68"/>
    <n v="19.32"/>
    <n v="36"/>
    <n v="6.08"/>
    <x v="0"/>
  </r>
  <r>
    <x v="0"/>
    <s v="長久手市"/>
    <x v="54"/>
    <x v="12"/>
    <n v="69"/>
    <n v="7.29"/>
    <n v="46"/>
    <n v="13.07"/>
    <n v="23"/>
    <n v="3.89"/>
    <x v="0"/>
  </r>
  <r>
    <x v="0"/>
    <s v="長久手市"/>
    <x v="54"/>
    <x v="13"/>
    <n v="37"/>
    <n v="3.91"/>
    <n v="23"/>
    <n v="6.53"/>
    <n v="13"/>
    <n v="2.2000000000000002"/>
    <x v="0"/>
  </r>
  <r>
    <x v="0"/>
    <s v="長久手市"/>
    <x v="54"/>
    <x v="14"/>
    <n v="38"/>
    <n v="4.01"/>
    <n v="11"/>
    <n v="3.13"/>
    <n v="27"/>
    <n v="4.5599999999999996"/>
    <x v="0"/>
  </r>
  <r>
    <x v="0"/>
    <s v="愛知郡東郷町"/>
    <x v="55"/>
    <x v="0"/>
    <n v="0"/>
    <n v="0"/>
    <n v="0"/>
    <n v="0"/>
    <n v="0"/>
    <n v="0"/>
    <x v="0"/>
  </r>
  <r>
    <x v="0"/>
    <s v="愛知郡東郷町"/>
    <x v="55"/>
    <x v="1"/>
    <n v="131"/>
    <n v="17.37"/>
    <n v="28"/>
    <n v="8.7200000000000006"/>
    <n v="103"/>
    <n v="23.84"/>
    <x v="0"/>
  </r>
  <r>
    <x v="0"/>
    <s v="愛知郡東郷町"/>
    <x v="55"/>
    <x v="2"/>
    <n v="106"/>
    <n v="14.06"/>
    <n v="25"/>
    <n v="7.79"/>
    <n v="81"/>
    <n v="18.75"/>
    <x v="0"/>
  </r>
  <r>
    <x v="0"/>
    <s v="愛知郡東郷町"/>
    <x v="55"/>
    <x v="3"/>
    <n v="1"/>
    <n v="0.13"/>
    <n v="0"/>
    <n v="0"/>
    <n v="1"/>
    <n v="0.23"/>
    <x v="0"/>
  </r>
  <r>
    <x v="0"/>
    <s v="愛知郡東郷町"/>
    <x v="55"/>
    <x v="4"/>
    <n v="7"/>
    <n v="0.93"/>
    <n v="1"/>
    <n v="0.31"/>
    <n v="6"/>
    <n v="1.39"/>
    <x v="0"/>
  </r>
  <r>
    <x v="0"/>
    <s v="愛知郡東郷町"/>
    <x v="55"/>
    <x v="5"/>
    <n v="4"/>
    <n v="0.53"/>
    <n v="0"/>
    <n v="0"/>
    <n v="4"/>
    <n v="0.93"/>
    <x v="0"/>
  </r>
  <r>
    <x v="0"/>
    <s v="愛知郡東郷町"/>
    <x v="55"/>
    <x v="6"/>
    <n v="171"/>
    <n v="22.68"/>
    <n v="65"/>
    <n v="20.25"/>
    <n v="106"/>
    <n v="24.54"/>
    <x v="0"/>
  </r>
  <r>
    <x v="0"/>
    <s v="愛知郡東郷町"/>
    <x v="55"/>
    <x v="7"/>
    <n v="5"/>
    <n v="0.66"/>
    <n v="1"/>
    <n v="0.31"/>
    <n v="4"/>
    <n v="0.93"/>
    <x v="0"/>
  </r>
  <r>
    <x v="0"/>
    <s v="愛知郡東郷町"/>
    <x v="55"/>
    <x v="8"/>
    <n v="37"/>
    <n v="4.91"/>
    <n v="3"/>
    <n v="0.93"/>
    <n v="34"/>
    <n v="7.87"/>
    <x v="0"/>
  </r>
  <r>
    <x v="0"/>
    <s v="愛知郡東郷町"/>
    <x v="55"/>
    <x v="9"/>
    <n v="37"/>
    <n v="4.91"/>
    <n v="23"/>
    <n v="7.17"/>
    <n v="14"/>
    <n v="3.24"/>
    <x v="0"/>
  </r>
  <r>
    <x v="0"/>
    <s v="愛知郡東郷町"/>
    <x v="55"/>
    <x v="10"/>
    <n v="61"/>
    <n v="8.09"/>
    <n v="41"/>
    <n v="12.77"/>
    <n v="20"/>
    <n v="4.63"/>
    <x v="0"/>
  </r>
  <r>
    <x v="0"/>
    <s v="愛知郡東郷町"/>
    <x v="55"/>
    <x v="11"/>
    <n v="73"/>
    <n v="9.68"/>
    <n v="62"/>
    <n v="19.309999999999999"/>
    <n v="11"/>
    <n v="2.5499999999999998"/>
    <x v="0"/>
  </r>
  <r>
    <x v="0"/>
    <s v="愛知郡東郷町"/>
    <x v="55"/>
    <x v="12"/>
    <n v="45"/>
    <n v="5.97"/>
    <n v="31"/>
    <n v="9.66"/>
    <n v="14"/>
    <n v="3.24"/>
    <x v="0"/>
  </r>
  <r>
    <x v="0"/>
    <s v="愛知郡東郷町"/>
    <x v="55"/>
    <x v="13"/>
    <n v="35"/>
    <n v="4.6399999999999997"/>
    <n v="27"/>
    <n v="8.41"/>
    <n v="8"/>
    <n v="1.85"/>
    <x v="0"/>
  </r>
  <r>
    <x v="0"/>
    <s v="愛知郡東郷町"/>
    <x v="55"/>
    <x v="14"/>
    <n v="41"/>
    <n v="5.44"/>
    <n v="14"/>
    <n v="4.3600000000000003"/>
    <n v="26"/>
    <n v="6.02"/>
    <x v="0"/>
  </r>
  <r>
    <x v="0"/>
    <s v="西春日井郡豊山町"/>
    <x v="56"/>
    <x v="0"/>
    <n v="0"/>
    <n v="0"/>
    <n v="0"/>
    <n v="0"/>
    <n v="0"/>
    <n v="0"/>
    <x v="0"/>
  </r>
  <r>
    <x v="0"/>
    <s v="西春日井郡豊山町"/>
    <x v="56"/>
    <x v="1"/>
    <n v="43"/>
    <n v="10.91"/>
    <n v="12"/>
    <n v="7.36"/>
    <n v="31"/>
    <n v="13.48"/>
    <x v="0"/>
  </r>
  <r>
    <x v="0"/>
    <s v="西春日井郡豊山町"/>
    <x v="56"/>
    <x v="2"/>
    <n v="54"/>
    <n v="13.71"/>
    <n v="18"/>
    <n v="11.04"/>
    <n v="36"/>
    <n v="15.65"/>
    <x v="0"/>
  </r>
  <r>
    <x v="0"/>
    <s v="西春日井郡豊山町"/>
    <x v="56"/>
    <x v="3"/>
    <n v="1"/>
    <n v="0.25"/>
    <n v="0"/>
    <n v="0"/>
    <n v="1"/>
    <n v="0.43"/>
    <x v="0"/>
  </r>
  <r>
    <x v="0"/>
    <s v="西春日井郡豊山町"/>
    <x v="56"/>
    <x v="4"/>
    <n v="2"/>
    <n v="0.51"/>
    <n v="0"/>
    <n v="0"/>
    <n v="2"/>
    <n v="0.87"/>
    <x v="0"/>
  </r>
  <r>
    <x v="0"/>
    <s v="西春日井郡豊山町"/>
    <x v="56"/>
    <x v="5"/>
    <n v="7"/>
    <n v="1.78"/>
    <n v="0"/>
    <n v="0"/>
    <n v="7"/>
    <n v="3.04"/>
    <x v="0"/>
  </r>
  <r>
    <x v="0"/>
    <s v="西春日井郡豊山町"/>
    <x v="56"/>
    <x v="6"/>
    <n v="102"/>
    <n v="25.89"/>
    <n v="23"/>
    <n v="14.11"/>
    <n v="79"/>
    <n v="34.35"/>
    <x v="0"/>
  </r>
  <r>
    <x v="0"/>
    <s v="西春日井郡豊山町"/>
    <x v="56"/>
    <x v="7"/>
    <n v="3"/>
    <n v="0.76"/>
    <n v="0"/>
    <n v="0"/>
    <n v="3"/>
    <n v="1.3"/>
    <x v="0"/>
  </r>
  <r>
    <x v="0"/>
    <s v="西春日井郡豊山町"/>
    <x v="56"/>
    <x v="8"/>
    <n v="54"/>
    <n v="13.71"/>
    <n v="35"/>
    <n v="21.47"/>
    <n v="19"/>
    <n v="8.26"/>
    <x v="0"/>
  </r>
  <r>
    <x v="0"/>
    <s v="西春日井郡豊山町"/>
    <x v="56"/>
    <x v="9"/>
    <n v="20"/>
    <n v="5.08"/>
    <n v="11"/>
    <n v="6.75"/>
    <n v="9"/>
    <n v="3.91"/>
    <x v="0"/>
  </r>
  <r>
    <x v="0"/>
    <s v="西春日井郡豊山町"/>
    <x v="56"/>
    <x v="10"/>
    <n v="38"/>
    <n v="9.64"/>
    <n v="25"/>
    <n v="15.34"/>
    <n v="13"/>
    <n v="5.65"/>
    <x v="0"/>
  </r>
  <r>
    <x v="0"/>
    <s v="西春日井郡豊山町"/>
    <x v="56"/>
    <x v="11"/>
    <n v="34"/>
    <n v="8.6300000000000008"/>
    <n v="22"/>
    <n v="13.5"/>
    <n v="12"/>
    <n v="5.22"/>
    <x v="0"/>
  </r>
  <r>
    <x v="0"/>
    <s v="西春日井郡豊山町"/>
    <x v="56"/>
    <x v="12"/>
    <n v="9"/>
    <n v="2.2799999999999998"/>
    <n v="6"/>
    <n v="3.68"/>
    <n v="2"/>
    <n v="0.87"/>
    <x v="0"/>
  </r>
  <r>
    <x v="0"/>
    <s v="西春日井郡豊山町"/>
    <x v="56"/>
    <x v="13"/>
    <n v="10"/>
    <n v="2.54"/>
    <n v="6"/>
    <n v="3.68"/>
    <n v="4"/>
    <n v="1.74"/>
    <x v="0"/>
  </r>
  <r>
    <x v="0"/>
    <s v="西春日井郡豊山町"/>
    <x v="56"/>
    <x v="14"/>
    <n v="17"/>
    <n v="4.3099999999999996"/>
    <n v="5"/>
    <n v="3.07"/>
    <n v="12"/>
    <n v="5.22"/>
    <x v="0"/>
  </r>
  <r>
    <x v="0"/>
    <s v="丹羽郡大口町"/>
    <x v="57"/>
    <x v="0"/>
    <n v="0"/>
    <n v="0"/>
    <n v="0"/>
    <n v="0"/>
    <n v="0"/>
    <n v="0"/>
    <x v="0"/>
  </r>
  <r>
    <x v="0"/>
    <s v="丹羽郡大口町"/>
    <x v="57"/>
    <x v="1"/>
    <n v="64"/>
    <n v="15.2"/>
    <n v="15"/>
    <n v="9.15"/>
    <n v="49"/>
    <n v="19.440000000000001"/>
    <x v="0"/>
  </r>
  <r>
    <x v="0"/>
    <s v="丹羽郡大口町"/>
    <x v="57"/>
    <x v="2"/>
    <n v="88"/>
    <n v="20.9"/>
    <n v="21"/>
    <n v="12.8"/>
    <n v="67"/>
    <n v="26.59"/>
    <x v="0"/>
  </r>
  <r>
    <x v="0"/>
    <s v="丹羽郡大口町"/>
    <x v="57"/>
    <x v="3"/>
    <n v="1"/>
    <n v="0.24"/>
    <n v="0"/>
    <n v="0"/>
    <n v="1"/>
    <n v="0.4"/>
    <x v="0"/>
  </r>
  <r>
    <x v="0"/>
    <s v="丹羽郡大口町"/>
    <x v="57"/>
    <x v="4"/>
    <n v="1"/>
    <n v="0.24"/>
    <n v="0"/>
    <n v="0"/>
    <n v="1"/>
    <n v="0.4"/>
    <x v="0"/>
  </r>
  <r>
    <x v="0"/>
    <s v="丹羽郡大口町"/>
    <x v="57"/>
    <x v="5"/>
    <n v="10"/>
    <n v="2.38"/>
    <n v="0"/>
    <n v="0"/>
    <n v="10"/>
    <n v="3.97"/>
    <x v="0"/>
  </r>
  <r>
    <x v="0"/>
    <s v="丹羽郡大口町"/>
    <x v="57"/>
    <x v="6"/>
    <n v="89"/>
    <n v="21.14"/>
    <n v="25"/>
    <n v="15.24"/>
    <n v="64"/>
    <n v="25.4"/>
    <x v="0"/>
  </r>
  <r>
    <x v="0"/>
    <s v="丹羽郡大口町"/>
    <x v="57"/>
    <x v="7"/>
    <n v="3"/>
    <n v="0.71"/>
    <n v="0"/>
    <n v="0"/>
    <n v="3"/>
    <n v="1.19"/>
    <x v="0"/>
  </r>
  <r>
    <x v="0"/>
    <s v="丹羽郡大口町"/>
    <x v="57"/>
    <x v="8"/>
    <n v="16"/>
    <n v="3.8"/>
    <n v="3"/>
    <n v="1.83"/>
    <n v="13"/>
    <n v="5.16"/>
    <x v="0"/>
  </r>
  <r>
    <x v="0"/>
    <s v="丹羽郡大口町"/>
    <x v="57"/>
    <x v="9"/>
    <n v="14"/>
    <n v="3.33"/>
    <n v="9"/>
    <n v="5.49"/>
    <n v="5"/>
    <n v="1.98"/>
    <x v="0"/>
  </r>
  <r>
    <x v="0"/>
    <s v="丹羽郡大口町"/>
    <x v="57"/>
    <x v="10"/>
    <n v="34"/>
    <n v="8.08"/>
    <n v="28"/>
    <n v="17.07"/>
    <n v="5"/>
    <n v="1.98"/>
    <x v="6"/>
  </r>
  <r>
    <x v="0"/>
    <s v="丹羽郡大口町"/>
    <x v="57"/>
    <x v="11"/>
    <n v="37"/>
    <n v="8.7899999999999991"/>
    <n v="29"/>
    <n v="17.68"/>
    <n v="8"/>
    <n v="3.17"/>
    <x v="0"/>
  </r>
  <r>
    <x v="0"/>
    <s v="丹羽郡大口町"/>
    <x v="57"/>
    <x v="12"/>
    <n v="21"/>
    <n v="4.99"/>
    <n v="15"/>
    <n v="9.15"/>
    <n v="5"/>
    <n v="1.98"/>
    <x v="0"/>
  </r>
  <r>
    <x v="0"/>
    <s v="丹羽郡大口町"/>
    <x v="57"/>
    <x v="13"/>
    <n v="22"/>
    <n v="5.23"/>
    <n v="9"/>
    <n v="5.49"/>
    <n v="10"/>
    <n v="3.97"/>
    <x v="0"/>
  </r>
  <r>
    <x v="0"/>
    <s v="丹羽郡大口町"/>
    <x v="57"/>
    <x v="14"/>
    <n v="21"/>
    <n v="4.99"/>
    <n v="10"/>
    <n v="6.1"/>
    <n v="11"/>
    <n v="4.37"/>
    <x v="0"/>
  </r>
  <r>
    <x v="0"/>
    <s v="丹羽郡扶桑町"/>
    <x v="58"/>
    <x v="0"/>
    <n v="1"/>
    <n v="0.17"/>
    <n v="0"/>
    <n v="0"/>
    <n v="1"/>
    <n v="0.46"/>
    <x v="0"/>
  </r>
  <r>
    <x v="0"/>
    <s v="丹羽郡扶桑町"/>
    <x v="58"/>
    <x v="1"/>
    <n v="50"/>
    <n v="8.65"/>
    <n v="15"/>
    <n v="4.29"/>
    <n v="35"/>
    <n v="15.98"/>
    <x v="0"/>
  </r>
  <r>
    <x v="0"/>
    <s v="丹羽郡扶桑町"/>
    <x v="58"/>
    <x v="2"/>
    <n v="76"/>
    <n v="13.15"/>
    <n v="32"/>
    <n v="9.14"/>
    <n v="44"/>
    <n v="20.09"/>
    <x v="0"/>
  </r>
  <r>
    <x v="0"/>
    <s v="丹羽郡扶桑町"/>
    <x v="58"/>
    <x v="3"/>
    <n v="1"/>
    <n v="0.17"/>
    <n v="0"/>
    <n v="0"/>
    <n v="1"/>
    <n v="0.46"/>
    <x v="0"/>
  </r>
  <r>
    <x v="0"/>
    <s v="丹羽郡扶桑町"/>
    <x v="58"/>
    <x v="4"/>
    <n v="2"/>
    <n v="0.35"/>
    <n v="0"/>
    <n v="0"/>
    <n v="2"/>
    <n v="0.91"/>
    <x v="0"/>
  </r>
  <r>
    <x v="0"/>
    <s v="丹羽郡扶桑町"/>
    <x v="58"/>
    <x v="5"/>
    <n v="6"/>
    <n v="1.04"/>
    <n v="0"/>
    <n v="0"/>
    <n v="6"/>
    <n v="2.74"/>
    <x v="0"/>
  </r>
  <r>
    <x v="0"/>
    <s v="丹羽郡扶桑町"/>
    <x v="58"/>
    <x v="6"/>
    <n v="108"/>
    <n v="18.690000000000001"/>
    <n v="47"/>
    <n v="13.43"/>
    <n v="61"/>
    <n v="27.85"/>
    <x v="0"/>
  </r>
  <r>
    <x v="0"/>
    <s v="丹羽郡扶桑町"/>
    <x v="58"/>
    <x v="7"/>
    <n v="1"/>
    <n v="0.17"/>
    <n v="1"/>
    <n v="0.28999999999999998"/>
    <n v="0"/>
    <n v="0"/>
    <x v="0"/>
  </r>
  <r>
    <x v="0"/>
    <s v="丹羽郡扶桑町"/>
    <x v="58"/>
    <x v="8"/>
    <n v="53"/>
    <n v="9.17"/>
    <n v="31"/>
    <n v="8.86"/>
    <n v="22"/>
    <n v="10.050000000000001"/>
    <x v="0"/>
  </r>
  <r>
    <x v="0"/>
    <s v="丹羽郡扶桑町"/>
    <x v="58"/>
    <x v="9"/>
    <n v="29"/>
    <n v="5.0199999999999996"/>
    <n v="22"/>
    <n v="6.29"/>
    <n v="7"/>
    <n v="3.2"/>
    <x v="0"/>
  </r>
  <r>
    <x v="0"/>
    <s v="丹羽郡扶桑町"/>
    <x v="58"/>
    <x v="10"/>
    <n v="74"/>
    <n v="12.8"/>
    <n v="68"/>
    <n v="19.43"/>
    <n v="6"/>
    <n v="2.74"/>
    <x v="0"/>
  </r>
  <r>
    <x v="0"/>
    <s v="丹羽郡扶桑町"/>
    <x v="58"/>
    <x v="11"/>
    <n v="92"/>
    <n v="15.92"/>
    <n v="74"/>
    <n v="21.14"/>
    <n v="18"/>
    <n v="8.2200000000000006"/>
    <x v="0"/>
  </r>
  <r>
    <x v="0"/>
    <s v="丹羽郡扶桑町"/>
    <x v="58"/>
    <x v="12"/>
    <n v="43"/>
    <n v="7.44"/>
    <n v="31"/>
    <n v="8.86"/>
    <n v="4"/>
    <n v="1.83"/>
    <x v="0"/>
  </r>
  <r>
    <x v="0"/>
    <s v="丹羽郡扶桑町"/>
    <x v="58"/>
    <x v="13"/>
    <n v="30"/>
    <n v="5.19"/>
    <n v="24"/>
    <n v="6.86"/>
    <n v="6"/>
    <n v="2.74"/>
    <x v="0"/>
  </r>
  <r>
    <x v="0"/>
    <s v="丹羽郡扶桑町"/>
    <x v="58"/>
    <x v="14"/>
    <n v="12"/>
    <n v="2.08"/>
    <n v="5"/>
    <n v="1.43"/>
    <n v="6"/>
    <n v="2.74"/>
    <x v="0"/>
  </r>
  <r>
    <x v="0"/>
    <s v="海部郡大治町"/>
    <x v="59"/>
    <x v="0"/>
    <n v="0"/>
    <n v="0"/>
    <n v="0"/>
    <n v="0"/>
    <n v="0"/>
    <n v="0"/>
    <x v="0"/>
  </r>
  <r>
    <x v="0"/>
    <s v="海部郡大治町"/>
    <x v="59"/>
    <x v="1"/>
    <n v="117"/>
    <n v="19.86"/>
    <n v="14"/>
    <n v="4.95"/>
    <n v="103"/>
    <n v="33.99"/>
    <x v="0"/>
  </r>
  <r>
    <x v="0"/>
    <s v="海部郡大治町"/>
    <x v="59"/>
    <x v="2"/>
    <n v="85"/>
    <n v="14.43"/>
    <n v="29"/>
    <n v="10.25"/>
    <n v="56"/>
    <n v="18.48"/>
    <x v="0"/>
  </r>
  <r>
    <x v="0"/>
    <s v="海部郡大治町"/>
    <x v="59"/>
    <x v="3"/>
    <n v="1"/>
    <n v="0.17"/>
    <n v="0"/>
    <n v="0"/>
    <n v="1"/>
    <n v="0.33"/>
    <x v="0"/>
  </r>
  <r>
    <x v="0"/>
    <s v="海部郡大治町"/>
    <x v="59"/>
    <x v="4"/>
    <n v="2"/>
    <n v="0.34"/>
    <n v="0"/>
    <n v="0"/>
    <n v="2"/>
    <n v="0.66"/>
    <x v="0"/>
  </r>
  <r>
    <x v="0"/>
    <s v="海部郡大治町"/>
    <x v="59"/>
    <x v="5"/>
    <n v="4"/>
    <n v="0.68"/>
    <n v="1"/>
    <n v="0.35"/>
    <n v="3"/>
    <n v="0.99"/>
    <x v="0"/>
  </r>
  <r>
    <x v="0"/>
    <s v="海部郡大治町"/>
    <x v="59"/>
    <x v="6"/>
    <n v="94"/>
    <n v="15.96"/>
    <n v="41"/>
    <n v="14.49"/>
    <n v="53"/>
    <n v="17.489999999999998"/>
    <x v="0"/>
  </r>
  <r>
    <x v="0"/>
    <s v="海部郡大治町"/>
    <x v="59"/>
    <x v="7"/>
    <n v="3"/>
    <n v="0.51"/>
    <n v="0"/>
    <n v="0"/>
    <n v="3"/>
    <n v="0.99"/>
    <x v="0"/>
  </r>
  <r>
    <x v="0"/>
    <s v="海部郡大治町"/>
    <x v="59"/>
    <x v="8"/>
    <n v="104"/>
    <n v="17.66"/>
    <n v="71"/>
    <n v="25.09"/>
    <n v="33"/>
    <n v="10.89"/>
    <x v="0"/>
  </r>
  <r>
    <x v="0"/>
    <s v="海部郡大治町"/>
    <x v="59"/>
    <x v="9"/>
    <n v="19"/>
    <n v="3.23"/>
    <n v="8"/>
    <n v="2.83"/>
    <n v="11"/>
    <n v="3.63"/>
    <x v="0"/>
  </r>
  <r>
    <x v="0"/>
    <s v="海部郡大治町"/>
    <x v="59"/>
    <x v="10"/>
    <n v="48"/>
    <n v="8.15"/>
    <n v="43"/>
    <n v="15.19"/>
    <n v="5"/>
    <n v="1.65"/>
    <x v="0"/>
  </r>
  <r>
    <x v="0"/>
    <s v="海部郡大治町"/>
    <x v="59"/>
    <x v="11"/>
    <n v="51"/>
    <n v="8.66"/>
    <n v="40"/>
    <n v="14.13"/>
    <n v="11"/>
    <n v="3.63"/>
    <x v="0"/>
  </r>
  <r>
    <x v="0"/>
    <s v="海部郡大治町"/>
    <x v="59"/>
    <x v="12"/>
    <n v="28"/>
    <n v="4.75"/>
    <n v="20"/>
    <n v="7.07"/>
    <n v="5"/>
    <n v="1.65"/>
    <x v="14"/>
  </r>
  <r>
    <x v="0"/>
    <s v="海部郡大治町"/>
    <x v="59"/>
    <x v="13"/>
    <n v="14"/>
    <n v="2.38"/>
    <n v="7"/>
    <n v="2.4700000000000002"/>
    <n v="7"/>
    <n v="2.31"/>
    <x v="0"/>
  </r>
  <r>
    <x v="0"/>
    <s v="海部郡大治町"/>
    <x v="59"/>
    <x v="14"/>
    <n v="19"/>
    <n v="3.23"/>
    <n v="9"/>
    <n v="3.18"/>
    <n v="10"/>
    <n v="3.3"/>
    <x v="0"/>
  </r>
  <r>
    <x v="0"/>
    <s v="海部郡蟹江町"/>
    <x v="60"/>
    <x v="0"/>
    <n v="0"/>
    <n v="0"/>
    <n v="0"/>
    <n v="0"/>
    <n v="0"/>
    <n v="0"/>
    <x v="0"/>
  </r>
  <r>
    <x v="0"/>
    <s v="海部郡蟹江町"/>
    <x v="60"/>
    <x v="1"/>
    <n v="120"/>
    <n v="13.95"/>
    <n v="21"/>
    <n v="5.0599999999999996"/>
    <n v="99"/>
    <n v="23.02"/>
    <x v="0"/>
  </r>
  <r>
    <x v="0"/>
    <s v="海部郡蟹江町"/>
    <x v="60"/>
    <x v="2"/>
    <n v="97"/>
    <n v="11.28"/>
    <n v="30"/>
    <n v="7.23"/>
    <n v="67"/>
    <n v="15.58"/>
    <x v="0"/>
  </r>
  <r>
    <x v="0"/>
    <s v="海部郡蟹江町"/>
    <x v="60"/>
    <x v="3"/>
    <n v="2"/>
    <n v="0.23"/>
    <n v="0"/>
    <n v="0"/>
    <n v="2"/>
    <n v="0.47"/>
    <x v="0"/>
  </r>
  <r>
    <x v="0"/>
    <s v="海部郡蟹江町"/>
    <x v="60"/>
    <x v="4"/>
    <n v="10"/>
    <n v="1.1599999999999999"/>
    <n v="0"/>
    <n v="0"/>
    <n v="10"/>
    <n v="2.33"/>
    <x v="0"/>
  </r>
  <r>
    <x v="0"/>
    <s v="海部郡蟹江町"/>
    <x v="60"/>
    <x v="5"/>
    <n v="11"/>
    <n v="1.28"/>
    <n v="0"/>
    <n v="0"/>
    <n v="11"/>
    <n v="2.56"/>
    <x v="0"/>
  </r>
  <r>
    <x v="0"/>
    <s v="海部郡蟹江町"/>
    <x v="60"/>
    <x v="6"/>
    <n v="171"/>
    <n v="19.88"/>
    <n v="76"/>
    <n v="18.309999999999999"/>
    <n v="95"/>
    <n v="22.09"/>
    <x v="0"/>
  </r>
  <r>
    <x v="0"/>
    <s v="海部郡蟹江町"/>
    <x v="60"/>
    <x v="7"/>
    <n v="2"/>
    <n v="0.23"/>
    <n v="0"/>
    <n v="0"/>
    <n v="2"/>
    <n v="0.47"/>
    <x v="0"/>
  </r>
  <r>
    <x v="0"/>
    <s v="海部郡蟹江町"/>
    <x v="60"/>
    <x v="8"/>
    <n v="74"/>
    <n v="8.6"/>
    <n v="22"/>
    <n v="5.3"/>
    <n v="52"/>
    <n v="12.09"/>
    <x v="0"/>
  </r>
  <r>
    <x v="0"/>
    <s v="海部郡蟹江町"/>
    <x v="60"/>
    <x v="9"/>
    <n v="41"/>
    <n v="4.7699999999999996"/>
    <n v="24"/>
    <n v="5.78"/>
    <n v="17"/>
    <n v="3.95"/>
    <x v="0"/>
  </r>
  <r>
    <x v="0"/>
    <s v="海部郡蟹江町"/>
    <x v="60"/>
    <x v="10"/>
    <n v="115"/>
    <n v="13.37"/>
    <n v="99"/>
    <n v="23.86"/>
    <n v="16"/>
    <n v="3.72"/>
    <x v="0"/>
  </r>
  <r>
    <x v="0"/>
    <s v="海部郡蟹江町"/>
    <x v="60"/>
    <x v="11"/>
    <n v="102"/>
    <n v="11.86"/>
    <n v="74"/>
    <n v="17.829999999999998"/>
    <n v="27"/>
    <n v="6.28"/>
    <x v="0"/>
  </r>
  <r>
    <x v="0"/>
    <s v="海部郡蟹江町"/>
    <x v="60"/>
    <x v="12"/>
    <n v="46"/>
    <n v="5.35"/>
    <n v="29"/>
    <n v="6.99"/>
    <n v="14"/>
    <n v="3.26"/>
    <x v="0"/>
  </r>
  <r>
    <x v="0"/>
    <s v="海部郡蟹江町"/>
    <x v="60"/>
    <x v="13"/>
    <n v="48"/>
    <n v="5.58"/>
    <n v="33"/>
    <n v="7.95"/>
    <n v="6"/>
    <n v="1.4"/>
    <x v="0"/>
  </r>
  <r>
    <x v="0"/>
    <s v="海部郡蟹江町"/>
    <x v="60"/>
    <x v="14"/>
    <n v="21"/>
    <n v="2.44"/>
    <n v="7"/>
    <n v="1.69"/>
    <n v="12"/>
    <n v="2.79"/>
    <x v="0"/>
  </r>
  <r>
    <x v="0"/>
    <s v="海部郡飛島村"/>
    <x v="61"/>
    <x v="0"/>
    <n v="0"/>
    <n v="0"/>
    <n v="0"/>
    <n v="0"/>
    <n v="0"/>
    <n v="0"/>
    <x v="0"/>
  </r>
  <r>
    <x v="0"/>
    <s v="海部郡飛島村"/>
    <x v="61"/>
    <x v="1"/>
    <n v="27"/>
    <n v="9.61"/>
    <n v="10"/>
    <n v="13.51"/>
    <n v="17"/>
    <n v="8.3699999999999992"/>
    <x v="0"/>
  </r>
  <r>
    <x v="0"/>
    <s v="海部郡飛島村"/>
    <x v="61"/>
    <x v="2"/>
    <n v="65"/>
    <n v="23.13"/>
    <n v="13"/>
    <n v="17.57"/>
    <n v="52"/>
    <n v="25.62"/>
    <x v="0"/>
  </r>
  <r>
    <x v="0"/>
    <s v="海部郡飛島村"/>
    <x v="61"/>
    <x v="3"/>
    <n v="0"/>
    <n v="0"/>
    <n v="0"/>
    <n v="0"/>
    <n v="0"/>
    <n v="0"/>
    <x v="0"/>
  </r>
  <r>
    <x v="0"/>
    <s v="海部郡飛島村"/>
    <x v="61"/>
    <x v="4"/>
    <n v="0"/>
    <n v="0"/>
    <n v="0"/>
    <n v="0"/>
    <n v="0"/>
    <n v="0"/>
    <x v="0"/>
  </r>
  <r>
    <x v="0"/>
    <s v="海部郡飛島村"/>
    <x v="61"/>
    <x v="5"/>
    <n v="45"/>
    <n v="16.010000000000002"/>
    <n v="2"/>
    <n v="2.7"/>
    <n v="43"/>
    <n v="21.18"/>
    <x v="0"/>
  </r>
  <r>
    <x v="0"/>
    <s v="海部郡飛島村"/>
    <x v="61"/>
    <x v="6"/>
    <n v="63"/>
    <n v="22.42"/>
    <n v="19"/>
    <n v="25.68"/>
    <n v="44"/>
    <n v="21.67"/>
    <x v="0"/>
  </r>
  <r>
    <x v="0"/>
    <s v="海部郡飛島村"/>
    <x v="61"/>
    <x v="7"/>
    <n v="0"/>
    <n v="0"/>
    <n v="0"/>
    <n v="0"/>
    <n v="0"/>
    <n v="0"/>
    <x v="0"/>
  </r>
  <r>
    <x v="0"/>
    <s v="海部郡飛島村"/>
    <x v="61"/>
    <x v="8"/>
    <n v="16"/>
    <n v="5.69"/>
    <n v="0"/>
    <n v="0"/>
    <n v="16"/>
    <n v="7.88"/>
    <x v="0"/>
  </r>
  <r>
    <x v="0"/>
    <s v="海部郡飛島村"/>
    <x v="61"/>
    <x v="9"/>
    <n v="3"/>
    <n v="1.07"/>
    <n v="3"/>
    <n v="4.05"/>
    <n v="0"/>
    <n v="0"/>
    <x v="0"/>
  </r>
  <r>
    <x v="0"/>
    <s v="海部郡飛島村"/>
    <x v="61"/>
    <x v="10"/>
    <n v="17"/>
    <n v="6.05"/>
    <n v="13"/>
    <n v="17.57"/>
    <n v="4"/>
    <n v="1.97"/>
    <x v="0"/>
  </r>
  <r>
    <x v="0"/>
    <s v="海部郡飛島村"/>
    <x v="61"/>
    <x v="11"/>
    <n v="6"/>
    <n v="2.14"/>
    <n v="3"/>
    <n v="4.05"/>
    <n v="1"/>
    <n v="0.49"/>
    <x v="0"/>
  </r>
  <r>
    <x v="0"/>
    <s v="海部郡飛島村"/>
    <x v="61"/>
    <x v="12"/>
    <n v="6"/>
    <n v="2.14"/>
    <n v="4"/>
    <n v="5.41"/>
    <n v="1"/>
    <n v="0.49"/>
    <x v="0"/>
  </r>
  <r>
    <x v="0"/>
    <s v="海部郡飛島村"/>
    <x v="61"/>
    <x v="13"/>
    <n v="2"/>
    <n v="0.71"/>
    <n v="1"/>
    <n v="1.35"/>
    <n v="0"/>
    <n v="0"/>
    <x v="0"/>
  </r>
  <r>
    <x v="0"/>
    <s v="海部郡飛島村"/>
    <x v="61"/>
    <x v="14"/>
    <n v="31"/>
    <n v="11.03"/>
    <n v="6"/>
    <n v="8.11"/>
    <n v="25"/>
    <n v="12.32"/>
    <x v="0"/>
  </r>
  <r>
    <x v="0"/>
    <s v="知多郡阿久比町"/>
    <x v="62"/>
    <x v="0"/>
    <n v="0"/>
    <n v="0"/>
    <n v="0"/>
    <n v="0"/>
    <n v="0"/>
    <n v="0"/>
    <x v="0"/>
  </r>
  <r>
    <x v="0"/>
    <s v="知多郡阿久比町"/>
    <x v="62"/>
    <x v="1"/>
    <n v="90"/>
    <n v="19.52"/>
    <n v="32"/>
    <n v="13.01"/>
    <n v="58"/>
    <n v="27.49"/>
    <x v="0"/>
  </r>
  <r>
    <x v="0"/>
    <s v="知多郡阿久比町"/>
    <x v="62"/>
    <x v="2"/>
    <n v="28"/>
    <n v="6.07"/>
    <n v="10"/>
    <n v="4.07"/>
    <n v="18"/>
    <n v="8.5299999999999994"/>
    <x v="0"/>
  </r>
  <r>
    <x v="0"/>
    <s v="知多郡阿久比町"/>
    <x v="62"/>
    <x v="3"/>
    <n v="4"/>
    <n v="0.87"/>
    <n v="0"/>
    <n v="0"/>
    <n v="4"/>
    <n v="1.9"/>
    <x v="0"/>
  </r>
  <r>
    <x v="0"/>
    <s v="知多郡阿久比町"/>
    <x v="62"/>
    <x v="4"/>
    <n v="5"/>
    <n v="1.08"/>
    <n v="1"/>
    <n v="0.41"/>
    <n v="4"/>
    <n v="1.9"/>
    <x v="0"/>
  </r>
  <r>
    <x v="0"/>
    <s v="知多郡阿久比町"/>
    <x v="62"/>
    <x v="5"/>
    <n v="3"/>
    <n v="0.65"/>
    <n v="1"/>
    <n v="0.41"/>
    <n v="2"/>
    <n v="0.95"/>
    <x v="0"/>
  </r>
  <r>
    <x v="0"/>
    <s v="知多郡阿久比町"/>
    <x v="62"/>
    <x v="6"/>
    <n v="107"/>
    <n v="23.21"/>
    <n v="58"/>
    <n v="23.58"/>
    <n v="49"/>
    <n v="23.22"/>
    <x v="0"/>
  </r>
  <r>
    <x v="0"/>
    <s v="知多郡阿久比町"/>
    <x v="62"/>
    <x v="7"/>
    <n v="5"/>
    <n v="1.08"/>
    <n v="0"/>
    <n v="0"/>
    <n v="5"/>
    <n v="2.37"/>
    <x v="0"/>
  </r>
  <r>
    <x v="0"/>
    <s v="知多郡阿久比町"/>
    <x v="62"/>
    <x v="8"/>
    <n v="22"/>
    <n v="4.7699999999999996"/>
    <n v="6"/>
    <n v="2.44"/>
    <n v="16"/>
    <n v="7.58"/>
    <x v="0"/>
  </r>
  <r>
    <x v="0"/>
    <s v="知多郡阿久比町"/>
    <x v="62"/>
    <x v="9"/>
    <n v="24"/>
    <n v="5.21"/>
    <n v="16"/>
    <n v="6.5"/>
    <n v="8"/>
    <n v="3.79"/>
    <x v="0"/>
  </r>
  <r>
    <x v="0"/>
    <s v="知多郡阿久比町"/>
    <x v="62"/>
    <x v="10"/>
    <n v="47"/>
    <n v="10.199999999999999"/>
    <n v="39"/>
    <n v="15.85"/>
    <n v="7"/>
    <n v="3.32"/>
    <x v="0"/>
  </r>
  <r>
    <x v="0"/>
    <s v="知多郡阿久比町"/>
    <x v="62"/>
    <x v="11"/>
    <n v="60"/>
    <n v="13.02"/>
    <n v="44"/>
    <n v="17.89"/>
    <n v="15"/>
    <n v="7.11"/>
    <x v="0"/>
  </r>
  <r>
    <x v="0"/>
    <s v="知多郡阿久比町"/>
    <x v="62"/>
    <x v="12"/>
    <n v="17"/>
    <n v="3.69"/>
    <n v="13"/>
    <n v="5.28"/>
    <n v="4"/>
    <n v="1.9"/>
    <x v="0"/>
  </r>
  <r>
    <x v="0"/>
    <s v="知多郡阿久比町"/>
    <x v="62"/>
    <x v="13"/>
    <n v="30"/>
    <n v="6.51"/>
    <n v="20"/>
    <n v="8.1300000000000008"/>
    <n v="9"/>
    <n v="4.2699999999999996"/>
    <x v="0"/>
  </r>
  <r>
    <x v="0"/>
    <s v="知多郡阿久比町"/>
    <x v="62"/>
    <x v="14"/>
    <n v="19"/>
    <n v="4.12"/>
    <n v="6"/>
    <n v="2.44"/>
    <n v="12"/>
    <n v="5.69"/>
    <x v="0"/>
  </r>
  <r>
    <x v="0"/>
    <s v="知多郡東浦町"/>
    <x v="63"/>
    <x v="0"/>
    <n v="0"/>
    <n v="0"/>
    <n v="0"/>
    <n v="0"/>
    <n v="0"/>
    <n v="0"/>
    <x v="0"/>
  </r>
  <r>
    <x v="0"/>
    <s v="知多郡東浦町"/>
    <x v="63"/>
    <x v="1"/>
    <n v="110"/>
    <n v="14.88"/>
    <n v="34"/>
    <n v="9.74"/>
    <n v="76"/>
    <n v="20"/>
    <x v="0"/>
  </r>
  <r>
    <x v="0"/>
    <s v="知多郡東浦町"/>
    <x v="63"/>
    <x v="2"/>
    <n v="102"/>
    <n v="13.8"/>
    <n v="31"/>
    <n v="8.8800000000000008"/>
    <n v="71"/>
    <n v="18.68"/>
    <x v="0"/>
  </r>
  <r>
    <x v="0"/>
    <s v="知多郡東浦町"/>
    <x v="63"/>
    <x v="3"/>
    <n v="1"/>
    <n v="0.14000000000000001"/>
    <n v="0"/>
    <n v="0"/>
    <n v="1"/>
    <n v="0.26"/>
    <x v="0"/>
  </r>
  <r>
    <x v="0"/>
    <s v="知多郡東浦町"/>
    <x v="63"/>
    <x v="4"/>
    <n v="5"/>
    <n v="0.68"/>
    <n v="1"/>
    <n v="0.28999999999999998"/>
    <n v="4"/>
    <n v="1.05"/>
    <x v="0"/>
  </r>
  <r>
    <x v="0"/>
    <s v="知多郡東浦町"/>
    <x v="63"/>
    <x v="5"/>
    <n v="8"/>
    <n v="1.08"/>
    <n v="2"/>
    <n v="0.56999999999999995"/>
    <n v="6"/>
    <n v="1.58"/>
    <x v="0"/>
  </r>
  <r>
    <x v="0"/>
    <s v="知多郡東浦町"/>
    <x v="63"/>
    <x v="6"/>
    <n v="157"/>
    <n v="21.24"/>
    <n v="70"/>
    <n v="20.059999999999999"/>
    <n v="87"/>
    <n v="22.89"/>
    <x v="0"/>
  </r>
  <r>
    <x v="0"/>
    <s v="知多郡東浦町"/>
    <x v="63"/>
    <x v="7"/>
    <n v="7"/>
    <n v="0.95"/>
    <n v="3"/>
    <n v="0.86"/>
    <n v="4"/>
    <n v="1.05"/>
    <x v="0"/>
  </r>
  <r>
    <x v="0"/>
    <s v="知多郡東浦町"/>
    <x v="63"/>
    <x v="8"/>
    <n v="77"/>
    <n v="10.42"/>
    <n v="25"/>
    <n v="7.16"/>
    <n v="52"/>
    <n v="13.68"/>
    <x v="0"/>
  </r>
  <r>
    <x v="0"/>
    <s v="知多郡東浦町"/>
    <x v="63"/>
    <x v="9"/>
    <n v="33"/>
    <n v="4.47"/>
    <n v="18"/>
    <n v="5.16"/>
    <n v="14"/>
    <n v="3.68"/>
    <x v="6"/>
  </r>
  <r>
    <x v="0"/>
    <s v="知多郡東浦町"/>
    <x v="63"/>
    <x v="10"/>
    <n v="62"/>
    <n v="8.39"/>
    <n v="50"/>
    <n v="14.33"/>
    <n v="12"/>
    <n v="3.16"/>
    <x v="0"/>
  </r>
  <r>
    <x v="0"/>
    <s v="知多郡東浦町"/>
    <x v="63"/>
    <x v="11"/>
    <n v="74"/>
    <n v="10.01"/>
    <n v="62"/>
    <n v="17.77"/>
    <n v="12"/>
    <n v="3.16"/>
    <x v="0"/>
  </r>
  <r>
    <x v="0"/>
    <s v="知多郡東浦町"/>
    <x v="63"/>
    <x v="12"/>
    <n v="34"/>
    <n v="4.5999999999999996"/>
    <n v="21"/>
    <n v="6.02"/>
    <n v="7"/>
    <n v="1.84"/>
    <x v="0"/>
  </r>
  <r>
    <x v="0"/>
    <s v="知多郡東浦町"/>
    <x v="63"/>
    <x v="13"/>
    <n v="47"/>
    <n v="6.36"/>
    <n v="28"/>
    <n v="8.02"/>
    <n v="19"/>
    <n v="5"/>
    <x v="0"/>
  </r>
  <r>
    <x v="0"/>
    <s v="知多郡東浦町"/>
    <x v="63"/>
    <x v="14"/>
    <n v="22"/>
    <n v="2.98"/>
    <n v="4"/>
    <n v="1.1499999999999999"/>
    <n v="15"/>
    <n v="3.95"/>
    <x v="0"/>
  </r>
  <r>
    <x v="0"/>
    <s v="知多郡南知多町"/>
    <x v="64"/>
    <x v="0"/>
    <n v="1"/>
    <n v="0.15"/>
    <n v="0"/>
    <n v="0"/>
    <n v="1"/>
    <n v="0.65"/>
    <x v="0"/>
  </r>
  <r>
    <x v="0"/>
    <s v="知多郡南知多町"/>
    <x v="64"/>
    <x v="1"/>
    <n v="69"/>
    <n v="10.65"/>
    <n v="50"/>
    <n v="10.25"/>
    <n v="19"/>
    <n v="12.34"/>
    <x v="0"/>
  </r>
  <r>
    <x v="0"/>
    <s v="知多郡南知多町"/>
    <x v="64"/>
    <x v="2"/>
    <n v="84"/>
    <n v="12.96"/>
    <n v="43"/>
    <n v="8.81"/>
    <n v="41"/>
    <n v="26.62"/>
    <x v="0"/>
  </r>
  <r>
    <x v="0"/>
    <s v="知多郡南知多町"/>
    <x v="64"/>
    <x v="3"/>
    <n v="1"/>
    <n v="0.15"/>
    <n v="0"/>
    <n v="0"/>
    <n v="1"/>
    <n v="0.65"/>
    <x v="0"/>
  </r>
  <r>
    <x v="0"/>
    <s v="知多郡南知多町"/>
    <x v="64"/>
    <x v="4"/>
    <n v="2"/>
    <n v="0.31"/>
    <n v="0"/>
    <n v="0"/>
    <n v="2"/>
    <n v="1.3"/>
    <x v="0"/>
  </r>
  <r>
    <x v="0"/>
    <s v="知多郡南知多町"/>
    <x v="64"/>
    <x v="5"/>
    <n v="19"/>
    <n v="2.93"/>
    <n v="12"/>
    <n v="2.46"/>
    <n v="6"/>
    <n v="3.9"/>
    <x v="6"/>
  </r>
  <r>
    <x v="0"/>
    <s v="知多郡南知多町"/>
    <x v="64"/>
    <x v="6"/>
    <n v="179"/>
    <n v="27.62"/>
    <n v="139"/>
    <n v="28.48"/>
    <n v="40"/>
    <n v="25.97"/>
    <x v="0"/>
  </r>
  <r>
    <x v="0"/>
    <s v="知多郡南知多町"/>
    <x v="64"/>
    <x v="7"/>
    <n v="2"/>
    <n v="0.31"/>
    <n v="2"/>
    <n v="0.41"/>
    <n v="0"/>
    <n v="0"/>
    <x v="0"/>
  </r>
  <r>
    <x v="0"/>
    <s v="知多郡南知多町"/>
    <x v="64"/>
    <x v="8"/>
    <n v="20"/>
    <n v="3.09"/>
    <n v="6"/>
    <n v="1.23"/>
    <n v="14"/>
    <n v="9.09"/>
    <x v="0"/>
  </r>
  <r>
    <x v="0"/>
    <s v="知多郡南知多町"/>
    <x v="64"/>
    <x v="9"/>
    <n v="14"/>
    <n v="2.16"/>
    <n v="12"/>
    <n v="2.46"/>
    <n v="2"/>
    <n v="1.3"/>
    <x v="0"/>
  </r>
  <r>
    <x v="0"/>
    <s v="知多郡南知多町"/>
    <x v="64"/>
    <x v="10"/>
    <n v="140"/>
    <n v="21.6"/>
    <n v="124"/>
    <n v="25.41"/>
    <n v="16"/>
    <n v="10.39"/>
    <x v="0"/>
  </r>
  <r>
    <x v="0"/>
    <s v="知多郡南知多町"/>
    <x v="64"/>
    <x v="11"/>
    <n v="69"/>
    <n v="10.65"/>
    <n v="62"/>
    <n v="12.7"/>
    <n v="6"/>
    <n v="3.9"/>
    <x v="0"/>
  </r>
  <r>
    <x v="0"/>
    <s v="知多郡南知多町"/>
    <x v="64"/>
    <x v="12"/>
    <n v="13"/>
    <n v="2.0099999999999998"/>
    <n v="10"/>
    <n v="2.0499999999999998"/>
    <n v="0"/>
    <n v="0"/>
    <x v="0"/>
  </r>
  <r>
    <x v="0"/>
    <s v="知多郡南知多町"/>
    <x v="64"/>
    <x v="13"/>
    <n v="19"/>
    <n v="2.93"/>
    <n v="16"/>
    <n v="3.28"/>
    <n v="3"/>
    <n v="1.95"/>
    <x v="0"/>
  </r>
  <r>
    <x v="0"/>
    <s v="知多郡南知多町"/>
    <x v="64"/>
    <x v="14"/>
    <n v="16"/>
    <n v="2.4700000000000002"/>
    <n v="12"/>
    <n v="2.46"/>
    <n v="3"/>
    <n v="1.95"/>
    <x v="0"/>
  </r>
  <r>
    <x v="0"/>
    <s v="知多郡美浜町"/>
    <x v="65"/>
    <x v="0"/>
    <n v="0"/>
    <n v="0"/>
    <n v="0"/>
    <n v="0"/>
    <n v="0"/>
    <n v="0"/>
    <x v="0"/>
  </r>
  <r>
    <x v="0"/>
    <s v="知多郡美浜町"/>
    <x v="65"/>
    <x v="1"/>
    <n v="99"/>
    <n v="17.87"/>
    <n v="58"/>
    <n v="15.38"/>
    <n v="41"/>
    <n v="24.26"/>
    <x v="0"/>
  </r>
  <r>
    <x v="0"/>
    <s v="知多郡美浜町"/>
    <x v="65"/>
    <x v="2"/>
    <n v="42"/>
    <n v="7.58"/>
    <n v="23"/>
    <n v="6.1"/>
    <n v="19"/>
    <n v="11.24"/>
    <x v="0"/>
  </r>
  <r>
    <x v="0"/>
    <s v="知多郡美浜町"/>
    <x v="65"/>
    <x v="3"/>
    <n v="3"/>
    <n v="0.54"/>
    <n v="1"/>
    <n v="0.27"/>
    <n v="2"/>
    <n v="1.18"/>
    <x v="0"/>
  </r>
  <r>
    <x v="0"/>
    <s v="知多郡美浜町"/>
    <x v="65"/>
    <x v="4"/>
    <n v="3"/>
    <n v="0.54"/>
    <n v="0"/>
    <n v="0"/>
    <n v="3"/>
    <n v="1.78"/>
    <x v="0"/>
  </r>
  <r>
    <x v="0"/>
    <s v="知多郡美浜町"/>
    <x v="65"/>
    <x v="5"/>
    <n v="6"/>
    <n v="1.08"/>
    <n v="1"/>
    <n v="0.27"/>
    <n v="4"/>
    <n v="2.37"/>
    <x v="6"/>
  </r>
  <r>
    <x v="0"/>
    <s v="知多郡美浜町"/>
    <x v="65"/>
    <x v="6"/>
    <n v="106"/>
    <n v="19.13"/>
    <n v="71"/>
    <n v="18.829999999999998"/>
    <n v="35"/>
    <n v="20.71"/>
    <x v="0"/>
  </r>
  <r>
    <x v="0"/>
    <s v="知多郡美浜町"/>
    <x v="65"/>
    <x v="7"/>
    <n v="2"/>
    <n v="0.36"/>
    <n v="1"/>
    <n v="0.27"/>
    <n v="1"/>
    <n v="0.59"/>
    <x v="0"/>
  </r>
  <r>
    <x v="0"/>
    <s v="知多郡美浜町"/>
    <x v="65"/>
    <x v="8"/>
    <n v="87"/>
    <n v="15.7"/>
    <n v="72"/>
    <n v="19.100000000000001"/>
    <n v="14"/>
    <n v="8.2799999999999994"/>
    <x v="6"/>
  </r>
  <r>
    <x v="0"/>
    <s v="知多郡美浜町"/>
    <x v="65"/>
    <x v="9"/>
    <n v="29"/>
    <n v="5.23"/>
    <n v="15"/>
    <n v="3.98"/>
    <n v="14"/>
    <n v="8.2799999999999994"/>
    <x v="0"/>
  </r>
  <r>
    <x v="0"/>
    <s v="知多郡美浜町"/>
    <x v="65"/>
    <x v="10"/>
    <n v="54"/>
    <n v="9.75"/>
    <n v="41"/>
    <n v="10.88"/>
    <n v="13"/>
    <n v="7.69"/>
    <x v="0"/>
  </r>
  <r>
    <x v="0"/>
    <s v="知多郡美浜町"/>
    <x v="65"/>
    <x v="11"/>
    <n v="53"/>
    <n v="9.57"/>
    <n v="47"/>
    <n v="12.47"/>
    <n v="6"/>
    <n v="3.55"/>
    <x v="0"/>
  </r>
  <r>
    <x v="0"/>
    <s v="知多郡美浜町"/>
    <x v="65"/>
    <x v="12"/>
    <n v="36"/>
    <n v="6.5"/>
    <n v="24"/>
    <n v="6.37"/>
    <n v="9"/>
    <n v="5.33"/>
    <x v="15"/>
  </r>
  <r>
    <x v="0"/>
    <s v="知多郡美浜町"/>
    <x v="65"/>
    <x v="13"/>
    <n v="19"/>
    <n v="3.43"/>
    <n v="17"/>
    <n v="4.51"/>
    <n v="2"/>
    <n v="1.18"/>
    <x v="0"/>
  </r>
  <r>
    <x v="0"/>
    <s v="知多郡美浜町"/>
    <x v="65"/>
    <x v="14"/>
    <n v="15"/>
    <n v="2.71"/>
    <n v="6"/>
    <n v="1.59"/>
    <n v="6"/>
    <n v="3.55"/>
    <x v="15"/>
  </r>
  <r>
    <x v="0"/>
    <s v="知多郡武豊町"/>
    <x v="66"/>
    <x v="0"/>
    <n v="0"/>
    <n v="0"/>
    <n v="0"/>
    <n v="0"/>
    <n v="0"/>
    <n v="0"/>
    <x v="0"/>
  </r>
  <r>
    <x v="0"/>
    <s v="知多郡武豊町"/>
    <x v="66"/>
    <x v="1"/>
    <n v="116"/>
    <n v="17.39"/>
    <n v="35"/>
    <n v="9.43"/>
    <n v="81"/>
    <n v="27.84"/>
    <x v="0"/>
  </r>
  <r>
    <x v="0"/>
    <s v="知多郡武豊町"/>
    <x v="66"/>
    <x v="2"/>
    <n v="63"/>
    <n v="9.4499999999999993"/>
    <n v="21"/>
    <n v="5.66"/>
    <n v="42"/>
    <n v="14.43"/>
    <x v="0"/>
  </r>
  <r>
    <x v="0"/>
    <s v="知多郡武豊町"/>
    <x v="66"/>
    <x v="3"/>
    <n v="3"/>
    <n v="0.45"/>
    <n v="0"/>
    <n v="0"/>
    <n v="3"/>
    <n v="1.03"/>
    <x v="0"/>
  </r>
  <r>
    <x v="0"/>
    <s v="知多郡武豊町"/>
    <x v="66"/>
    <x v="4"/>
    <n v="2"/>
    <n v="0.3"/>
    <n v="0"/>
    <n v="0"/>
    <n v="2"/>
    <n v="0.69"/>
    <x v="0"/>
  </r>
  <r>
    <x v="0"/>
    <s v="知多郡武豊町"/>
    <x v="66"/>
    <x v="5"/>
    <n v="8"/>
    <n v="1.2"/>
    <n v="1"/>
    <n v="0.27"/>
    <n v="7"/>
    <n v="2.41"/>
    <x v="0"/>
  </r>
  <r>
    <x v="0"/>
    <s v="知多郡武豊町"/>
    <x v="66"/>
    <x v="6"/>
    <n v="116"/>
    <n v="17.39"/>
    <n v="60"/>
    <n v="16.170000000000002"/>
    <n v="56"/>
    <n v="19.239999999999998"/>
    <x v="0"/>
  </r>
  <r>
    <x v="0"/>
    <s v="知多郡武豊町"/>
    <x v="66"/>
    <x v="7"/>
    <n v="3"/>
    <n v="0.45"/>
    <n v="1"/>
    <n v="0.27"/>
    <n v="2"/>
    <n v="0.69"/>
    <x v="0"/>
  </r>
  <r>
    <x v="0"/>
    <s v="知多郡武豊町"/>
    <x v="66"/>
    <x v="8"/>
    <n v="49"/>
    <n v="7.35"/>
    <n v="17"/>
    <n v="4.58"/>
    <n v="32"/>
    <n v="11"/>
    <x v="0"/>
  </r>
  <r>
    <x v="0"/>
    <s v="知多郡武豊町"/>
    <x v="66"/>
    <x v="9"/>
    <n v="29"/>
    <n v="4.3499999999999996"/>
    <n v="19"/>
    <n v="5.12"/>
    <n v="10"/>
    <n v="3.44"/>
    <x v="0"/>
  </r>
  <r>
    <x v="0"/>
    <s v="知多郡武豊町"/>
    <x v="66"/>
    <x v="10"/>
    <n v="89"/>
    <n v="13.34"/>
    <n v="77"/>
    <n v="20.75"/>
    <n v="11"/>
    <n v="3.78"/>
    <x v="0"/>
  </r>
  <r>
    <x v="0"/>
    <s v="知多郡武豊町"/>
    <x v="66"/>
    <x v="11"/>
    <n v="93"/>
    <n v="13.94"/>
    <n v="73"/>
    <n v="19.68"/>
    <n v="20"/>
    <n v="6.87"/>
    <x v="0"/>
  </r>
  <r>
    <x v="0"/>
    <s v="知多郡武豊町"/>
    <x v="66"/>
    <x v="12"/>
    <n v="37"/>
    <n v="5.55"/>
    <n v="30"/>
    <n v="8.09"/>
    <n v="7"/>
    <n v="2.41"/>
    <x v="0"/>
  </r>
  <r>
    <x v="0"/>
    <s v="知多郡武豊町"/>
    <x v="66"/>
    <x v="13"/>
    <n v="26"/>
    <n v="3.9"/>
    <n v="22"/>
    <n v="5.93"/>
    <n v="3"/>
    <n v="1.03"/>
    <x v="0"/>
  </r>
  <r>
    <x v="0"/>
    <s v="知多郡武豊町"/>
    <x v="66"/>
    <x v="14"/>
    <n v="33"/>
    <n v="4.95"/>
    <n v="15"/>
    <n v="4.04"/>
    <n v="15"/>
    <n v="5.15"/>
    <x v="0"/>
  </r>
  <r>
    <x v="0"/>
    <s v="額田郡幸田町"/>
    <x v="67"/>
    <x v="0"/>
    <n v="0"/>
    <n v="0"/>
    <n v="0"/>
    <n v="0"/>
    <n v="0"/>
    <n v="0"/>
    <x v="0"/>
  </r>
  <r>
    <x v="0"/>
    <s v="額田郡幸田町"/>
    <x v="67"/>
    <x v="1"/>
    <n v="134"/>
    <n v="19.71"/>
    <n v="42"/>
    <n v="10.99"/>
    <n v="92"/>
    <n v="31.83"/>
    <x v="0"/>
  </r>
  <r>
    <x v="0"/>
    <s v="額田郡幸田町"/>
    <x v="67"/>
    <x v="2"/>
    <n v="92"/>
    <n v="13.53"/>
    <n v="38"/>
    <n v="9.9499999999999993"/>
    <n v="54"/>
    <n v="18.690000000000001"/>
    <x v="0"/>
  </r>
  <r>
    <x v="0"/>
    <s v="額田郡幸田町"/>
    <x v="67"/>
    <x v="3"/>
    <n v="3"/>
    <n v="0.44"/>
    <n v="0"/>
    <n v="0"/>
    <n v="3"/>
    <n v="1.04"/>
    <x v="0"/>
  </r>
  <r>
    <x v="0"/>
    <s v="額田郡幸田町"/>
    <x v="67"/>
    <x v="4"/>
    <n v="1"/>
    <n v="0.15"/>
    <n v="1"/>
    <n v="0.26"/>
    <n v="0"/>
    <n v="0"/>
    <x v="0"/>
  </r>
  <r>
    <x v="0"/>
    <s v="額田郡幸田町"/>
    <x v="67"/>
    <x v="5"/>
    <n v="5"/>
    <n v="0.74"/>
    <n v="2"/>
    <n v="0.52"/>
    <n v="3"/>
    <n v="1.04"/>
    <x v="0"/>
  </r>
  <r>
    <x v="0"/>
    <s v="額田郡幸田町"/>
    <x v="67"/>
    <x v="6"/>
    <n v="136"/>
    <n v="20"/>
    <n v="79"/>
    <n v="20.68"/>
    <n v="57"/>
    <n v="19.72"/>
    <x v="0"/>
  </r>
  <r>
    <x v="0"/>
    <s v="額田郡幸田町"/>
    <x v="67"/>
    <x v="7"/>
    <n v="3"/>
    <n v="0.44"/>
    <n v="1"/>
    <n v="0.26"/>
    <n v="2"/>
    <n v="0.69"/>
    <x v="0"/>
  </r>
  <r>
    <x v="0"/>
    <s v="額田郡幸田町"/>
    <x v="67"/>
    <x v="8"/>
    <n v="41"/>
    <n v="6.03"/>
    <n v="23"/>
    <n v="6.02"/>
    <n v="18"/>
    <n v="6.23"/>
    <x v="0"/>
  </r>
  <r>
    <x v="0"/>
    <s v="額田郡幸田町"/>
    <x v="67"/>
    <x v="9"/>
    <n v="34"/>
    <n v="5"/>
    <n v="25"/>
    <n v="6.54"/>
    <n v="9"/>
    <n v="3.11"/>
    <x v="0"/>
  </r>
  <r>
    <x v="0"/>
    <s v="額田郡幸田町"/>
    <x v="67"/>
    <x v="10"/>
    <n v="61"/>
    <n v="8.9700000000000006"/>
    <n v="51"/>
    <n v="13.35"/>
    <n v="10"/>
    <n v="3.46"/>
    <x v="0"/>
  </r>
  <r>
    <x v="0"/>
    <s v="額田郡幸田町"/>
    <x v="67"/>
    <x v="11"/>
    <n v="91"/>
    <n v="13.38"/>
    <n v="69"/>
    <n v="18.059999999999999"/>
    <n v="22"/>
    <n v="7.61"/>
    <x v="0"/>
  </r>
  <r>
    <x v="0"/>
    <s v="額田郡幸田町"/>
    <x v="67"/>
    <x v="12"/>
    <n v="35"/>
    <n v="5.15"/>
    <n v="27"/>
    <n v="7.07"/>
    <n v="6"/>
    <n v="2.08"/>
    <x v="6"/>
  </r>
  <r>
    <x v="0"/>
    <s v="額田郡幸田町"/>
    <x v="67"/>
    <x v="13"/>
    <n v="26"/>
    <n v="3.82"/>
    <n v="14"/>
    <n v="3.66"/>
    <n v="6"/>
    <n v="2.08"/>
    <x v="0"/>
  </r>
  <r>
    <x v="0"/>
    <s v="額田郡幸田町"/>
    <x v="67"/>
    <x v="14"/>
    <n v="18"/>
    <n v="2.65"/>
    <n v="10"/>
    <n v="2.62"/>
    <n v="7"/>
    <n v="2.42"/>
    <x v="0"/>
  </r>
  <r>
    <x v="0"/>
    <s v="北設楽郡設楽町"/>
    <x v="68"/>
    <x v="0"/>
    <n v="0"/>
    <n v="0"/>
    <n v="0"/>
    <n v="0"/>
    <n v="0"/>
    <n v="0"/>
    <x v="0"/>
  </r>
  <r>
    <x v="0"/>
    <s v="北設楽郡設楽町"/>
    <x v="68"/>
    <x v="1"/>
    <n v="34"/>
    <n v="21.12"/>
    <n v="17"/>
    <n v="17.350000000000001"/>
    <n v="17"/>
    <n v="30.91"/>
    <x v="0"/>
  </r>
  <r>
    <x v="0"/>
    <s v="北設楽郡設楽町"/>
    <x v="68"/>
    <x v="2"/>
    <n v="12"/>
    <n v="7.45"/>
    <n v="6"/>
    <n v="6.12"/>
    <n v="6"/>
    <n v="10.91"/>
    <x v="0"/>
  </r>
  <r>
    <x v="0"/>
    <s v="北設楽郡設楽町"/>
    <x v="68"/>
    <x v="3"/>
    <n v="1"/>
    <n v="0.62"/>
    <n v="0"/>
    <n v="0"/>
    <n v="1"/>
    <n v="1.82"/>
    <x v="0"/>
  </r>
  <r>
    <x v="0"/>
    <s v="北設楽郡設楽町"/>
    <x v="68"/>
    <x v="4"/>
    <n v="1"/>
    <n v="0.62"/>
    <n v="0"/>
    <n v="0"/>
    <n v="1"/>
    <n v="1.82"/>
    <x v="0"/>
  </r>
  <r>
    <x v="0"/>
    <s v="北設楽郡設楽町"/>
    <x v="68"/>
    <x v="5"/>
    <n v="4"/>
    <n v="2.48"/>
    <n v="1"/>
    <n v="1.02"/>
    <n v="2"/>
    <n v="3.64"/>
    <x v="6"/>
  </r>
  <r>
    <x v="0"/>
    <s v="北設楽郡設楽町"/>
    <x v="68"/>
    <x v="6"/>
    <n v="42"/>
    <n v="26.09"/>
    <n v="32"/>
    <n v="32.65"/>
    <n v="9"/>
    <n v="16.36"/>
    <x v="6"/>
  </r>
  <r>
    <x v="0"/>
    <s v="北設楽郡設楽町"/>
    <x v="68"/>
    <x v="7"/>
    <n v="0"/>
    <n v="0"/>
    <n v="0"/>
    <n v="0"/>
    <n v="0"/>
    <n v="0"/>
    <x v="0"/>
  </r>
  <r>
    <x v="0"/>
    <s v="北設楽郡設楽町"/>
    <x v="68"/>
    <x v="8"/>
    <n v="1"/>
    <n v="0.62"/>
    <n v="0"/>
    <n v="0"/>
    <n v="1"/>
    <n v="1.82"/>
    <x v="0"/>
  </r>
  <r>
    <x v="0"/>
    <s v="北設楽郡設楽町"/>
    <x v="68"/>
    <x v="9"/>
    <n v="5"/>
    <n v="3.11"/>
    <n v="2"/>
    <n v="2.04"/>
    <n v="3"/>
    <n v="5.45"/>
    <x v="0"/>
  </r>
  <r>
    <x v="0"/>
    <s v="北設楽郡設楽町"/>
    <x v="68"/>
    <x v="10"/>
    <n v="21"/>
    <n v="13.04"/>
    <n v="13"/>
    <n v="13.27"/>
    <n v="5"/>
    <n v="9.09"/>
    <x v="0"/>
  </r>
  <r>
    <x v="0"/>
    <s v="北設楽郡設楽町"/>
    <x v="68"/>
    <x v="11"/>
    <n v="23"/>
    <n v="14.29"/>
    <n v="17"/>
    <n v="17.350000000000001"/>
    <n v="5"/>
    <n v="9.09"/>
    <x v="0"/>
  </r>
  <r>
    <x v="0"/>
    <s v="北設楽郡設楽町"/>
    <x v="68"/>
    <x v="12"/>
    <n v="1"/>
    <n v="0.62"/>
    <n v="1"/>
    <n v="1.02"/>
    <n v="0"/>
    <n v="0"/>
    <x v="0"/>
  </r>
  <r>
    <x v="0"/>
    <s v="北設楽郡設楽町"/>
    <x v="68"/>
    <x v="13"/>
    <n v="9"/>
    <n v="5.59"/>
    <n v="8"/>
    <n v="8.16"/>
    <n v="0"/>
    <n v="0"/>
    <x v="0"/>
  </r>
  <r>
    <x v="0"/>
    <s v="北設楽郡設楽町"/>
    <x v="68"/>
    <x v="14"/>
    <n v="7"/>
    <n v="4.3499999999999996"/>
    <n v="1"/>
    <n v="1.02"/>
    <n v="5"/>
    <n v="9.09"/>
    <x v="0"/>
  </r>
  <r>
    <x v="0"/>
    <s v="北設楽郡東栄町"/>
    <x v="69"/>
    <x v="0"/>
    <n v="0"/>
    <n v="0"/>
    <n v="0"/>
    <n v="0"/>
    <n v="0"/>
    <n v="0"/>
    <x v="0"/>
  </r>
  <r>
    <x v="0"/>
    <s v="北設楽郡東栄町"/>
    <x v="69"/>
    <x v="1"/>
    <n v="28"/>
    <n v="22.22"/>
    <n v="21"/>
    <n v="22.58"/>
    <n v="7"/>
    <n v="24.14"/>
    <x v="0"/>
  </r>
  <r>
    <x v="0"/>
    <s v="北設楽郡東栄町"/>
    <x v="69"/>
    <x v="2"/>
    <n v="10"/>
    <n v="7.94"/>
    <n v="6"/>
    <n v="6.45"/>
    <n v="4"/>
    <n v="13.79"/>
    <x v="0"/>
  </r>
  <r>
    <x v="0"/>
    <s v="北設楽郡東栄町"/>
    <x v="69"/>
    <x v="3"/>
    <n v="1"/>
    <n v="0.79"/>
    <n v="0"/>
    <n v="0"/>
    <n v="0"/>
    <n v="0"/>
    <x v="0"/>
  </r>
  <r>
    <x v="0"/>
    <s v="北設楽郡東栄町"/>
    <x v="69"/>
    <x v="4"/>
    <n v="0"/>
    <n v="0"/>
    <n v="0"/>
    <n v="0"/>
    <n v="0"/>
    <n v="0"/>
    <x v="0"/>
  </r>
  <r>
    <x v="0"/>
    <s v="北設楽郡東栄町"/>
    <x v="69"/>
    <x v="5"/>
    <n v="2"/>
    <n v="1.59"/>
    <n v="0"/>
    <n v="0"/>
    <n v="1"/>
    <n v="3.45"/>
    <x v="6"/>
  </r>
  <r>
    <x v="0"/>
    <s v="北設楽郡東栄町"/>
    <x v="69"/>
    <x v="6"/>
    <n v="34"/>
    <n v="26.98"/>
    <n v="28"/>
    <n v="30.11"/>
    <n v="6"/>
    <n v="20.69"/>
    <x v="0"/>
  </r>
  <r>
    <x v="0"/>
    <s v="北設楽郡東栄町"/>
    <x v="69"/>
    <x v="7"/>
    <n v="0"/>
    <n v="0"/>
    <n v="0"/>
    <n v="0"/>
    <n v="0"/>
    <n v="0"/>
    <x v="0"/>
  </r>
  <r>
    <x v="0"/>
    <s v="北設楽郡東栄町"/>
    <x v="69"/>
    <x v="8"/>
    <n v="3"/>
    <n v="2.38"/>
    <n v="1"/>
    <n v="1.08"/>
    <n v="2"/>
    <n v="6.9"/>
    <x v="0"/>
  </r>
  <r>
    <x v="0"/>
    <s v="北設楽郡東栄町"/>
    <x v="69"/>
    <x v="9"/>
    <n v="4"/>
    <n v="3.17"/>
    <n v="3"/>
    <n v="3.23"/>
    <n v="1"/>
    <n v="3.45"/>
    <x v="0"/>
  </r>
  <r>
    <x v="0"/>
    <s v="北設楽郡東栄町"/>
    <x v="69"/>
    <x v="10"/>
    <n v="21"/>
    <n v="16.670000000000002"/>
    <n v="14"/>
    <n v="15.05"/>
    <n v="6"/>
    <n v="20.69"/>
    <x v="6"/>
  </r>
  <r>
    <x v="0"/>
    <s v="北設楽郡東栄町"/>
    <x v="69"/>
    <x v="11"/>
    <n v="10"/>
    <n v="7.94"/>
    <n v="9"/>
    <n v="9.68"/>
    <n v="1"/>
    <n v="3.45"/>
    <x v="0"/>
  </r>
  <r>
    <x v="0"/>
    <s v="北設楽郡東栄町"/>
    <x v="69"/>
    <x v="12"/>
    <n v="5"/>
    <n v="3.97"/>
    <n v="4"/>
    <n v="4.3"/>
    <n v="0"/>
    <n v="0"/>
    <x v="0"/>
  </r>
  <r>
    <x v="0"/>
    <s v="北設楽郡東栄町"/>
    <x v="69"/>
    <x v="13"/>
    <n v="6"/>
    <n v="4.76"/>
    <n v="6"/>
    <n v="6.45"/>
    <n v="0"/>
    <n v="0"/>
    <x v="0"/>
  </r>
  <r>
    <x v="0"/>
    <s v="北設楽郡東栄町"/>
    <x v="69"/>
    <x v="14"/>
    <n v="2"/>
    <n v="1.59"/>
    <n v="1"/>
    <n v="1.08"/>
    <n v="1"/>
    <n v="3.45"/>
    <x v="0"/>
  </r>
  <r>
    <x v="0"/>
    <s v="北設楽郡豊根村"/>
    <x v="70"/>
    <x v="0"/>
    <n v="0"/>
    <n v="0"/>
    <n v="0"/>
    <n v="0"/>
    <n v="0"/>
    <n v="0"/>
    <x v="0"/>
  </r>
  <r>
    <x v="0"/>
    <s v="北設楽郡豊根村"/>
    <x v="70"/>
    <x v="1"/>
    <n v="5"/>
    <n v="11.63"/>
    <n v="3"/>
    <n v="10.71"/>
    <n v="2"/>
    <n v="18.18"/>
    <x v="0"/>
  </r>
  <r>
    <x v="0"/>
    <s v="北設楽郡豊根村"/>
    <x v="70"/>
    <x v="2"/>
    <n v="8"/>
    <n v="18.600000000000001"/>
    <n v="2"/>
    <n v="7.14"/>
    <n v="5"/>
    <n v="45.45"/>
    <x v="6"/>
  </r>
  <r>
    <x v="0"/>
    <s v="北設楽郡豊根村"/>
    <x v="70"/>
    <x v="3"/>
    <n v="0"/>
    <n v="0"/>
    <n v="0"/>
    <n v="0"/>
    <n v="0"/>
    <n v="0"/>
    <x v="0"/>
  </r>
  <r>
    <x v="0"/>
    <s v="北設楽郡豊根村"/>
    <x v="70"/>
    <x v="4"/>
    <n v="0"/>
    <n v="0"/>
    <n v="0"/>
    <n v="0"/>
    <n v="0"/>
    <n v="0"/>
    <x v="0"/>
  </r>
  <r>
    <x v="0"/>
    <s v="北設楽郡豊根村"/>
    <x v="70"/>
    <x v="5"/>
    <n v="1"/>
    <n v="2.33"/>
    <n v="0"/>
    <n v="0"/>
    <n v="0"/>
    <n v="0"/>
    <x v="6"/>
  </r>
  <r>
    <x v="0"/>
    <s v="北設楽郡豊根村"/>
    <x v="70"/>
    <x v="6"/>
    <n v="14"/>
    <n v="32.56"/>
    <n v="13"/>
    <n v="46.43"/>
    <n v="1"/>
    <n v="9.09"/>
    <x v="0"/>
  </r>
  <r>
    <x v="0"/>
    <s v="北設楽郡豊根村"/>
    <x v="70"/>
    <x v="7"/>
    <n v="0"/>
    <n v="0"/>
    <n v="0"/>
    <n v="0"/>
    <n v="0"/>
    <n v="0"/>
    <x v="0"/>
  </r>
  <r>
    <x v="0"/>
    <s v="北設楽郡豊根村"/>
    <x v="70"/>
    <x v="8"/>
    <n v="2"/>
    <n v="4.6500000000000004"/>
    <n v="2"/>
    <n v="7.14"/>
    <n v="0"/>
    <n v="0"/>
    <x v="0"/>
  </r>
  <r>
    <x v="0"/>
    <s v="北設楽郡豊根村"/>
    <x v="70"/>
    <x v="9"/>
    <n v="0"/>
    <n v="0"/>
    <n v="0"/>
    <n v="0"/>
    <n v="0"/>
    <n v="0"/>
    <x v="0"/>
  </r>
  <r>
    <x v="0"/>
    <s v="北設楽郡豊根村"/>
    <x v="70"/>
    <x v="10"/>
    <n v="7"/>
    <n v="16.28"/>
    <n v="5"/>
    <n v="17.86"/>
    <n v="1"/>
    <n v="9.09"/>
    <x v="0"/>
  </r>
  <r>
    <x v="0"/>
    <s v="北設楽郡豊根村"/>
    <x v="70"/>
    <x v="11"/>
    <n v="3"/>
    <n v="6.98"/>
    <n v="2"/>
    <n v="7.14"/>
    <n v="1"/>
    <n v="9.09"/>
    <x v="0"/>
  </r>
  <r>
    <x v="0"/>
    <s v="北設楽郡豊根村"/>
    <x v="70"/>
    <x v="12"/>
    <n v="0"/>
    <n v="0"/>
    <n v="0"/>
    <n v="0"/>
    <n v="0"/>
    <n v="0"/>
    <x v="0"/>
  </r>
  <r>
    <x v="0"/>
    <s v="北設楽郡豊根村"/>
    <x v="70"/>
    <x v="13"/>
    <n v="1"/>
    <n v="2.33"/>
    <n v="1"/>
    <n v="3.57"/>
    <n v="0"/>
    <n v="0"/>
    <x v="0"/>
  </r>
  <r>
    <x v="0"/>
    <s v="北設楽郡豊根村"/>
    <x v="70"/>
    <x v="14"/>
    <n v="2"/>
    <n v="4.6500000000000004"/>
    <n v="0"/>
    <n v="0"/>
    <n v="1"/>
    <n v="9.09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6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7"/>
  </r>
  <r>
    <x v="0"/>
    <x v="0"/>
    <x v="0"/>
    <x v="10"/>
    <x v="10"/>
    <x v="10"/>
    <x v="10"/>
    <x v="10"/>
    <x v="10"/>
    <x v="10"/>
    <x v="10"/>
    <x v="10"/>
    <x v="10"/>
    <x v="7"/>
  </r>
  <r>
    <x v="0"/>
    <x v="0"/>
    <x v="0"/>
    <x v="11"/>
    <x v="11"/>
    <x v="11"/>
    <x v="11"/>
    <x v="11"/>
    <x v="11"/>
    <x v="11"/>
    <x v="11"/>
    <x v="11"/>
    <x v="11"/>
    <x v="6"/>
  </r>
  <r>
    <x v="0"/>
    <x v="0"/>
    <x v="0"/>
    <x v="12"/>
    <x v="12"/>
    <x v="12"/>
    <x v="12"/>
    <x v="12"/>
    <x v="12"/>
    <x v="12"/>
    <x v="12"/>
    <x v="12"/>
    <x v="12"/>
    <x v="1"/>
  </r>
  <r>
    <x v="0"/>
    <x v="0"/>
    <x v="0"/>
    <x v="13"/>
    <x v="13"/>
    <x v="13"/>
    <x v="13"/>
    <x v="13"/>
    <x v="13"/>
    <x v="13"/>
    <x v="13"/>
    <x v="13"/>
    <x v="13"/>
    <x v="1"/>
  </r>
  <r>
    <x v="0"/>
    <x v="0"/>
    <x v="0"/>
    <x v="14"/>
    <x v="14"/>
    <x v="14"/>
    <x v="14"/>
    <x v="14"/>
    <x v="14"/>
    <x v="14"/>
    <x v="14"/>
    <x v="14"/>
    <x v="14"/>
    <x v="7"/>
  </r>
  <r>
    <x v="0"/>
    <x v="0"/>
    <x v="0"/>
    <x v="15"/>
    <x v="15"/>
    <x v="15"/>
    <x v="15"/>
    <x v="15"/>
    <x v="15"/>
    <x v="15"/>
    <x v="15"/>
    <x v="15"/>
    <x v="15"/>
    <x v="7"/>
  </r>
  <r>
    <x v="0"/>
    <x v="0"/>
    <x v="0"/>
    <x v="16"/>
    <x v="16"/>
    <x v="16"/>
    <x v="16"/>
    <x v="16"/>
    <x v="16"/>
    <x v="16"/>
    <x v="16"/>
    <x v="16"/>
    <x v="16"/>
    <x v="7"/>
  </r>
  <r>
    <x v="0"/>
    <x v="0"/>
    <x v="0"/>
    <x v="17"/>
    <x v="17"/>
    <x v="17"/>
    <x v="17"/>
    <x v="17"/>
    <x v="17"/>
    <x v="17"/>
    <x v="17"/>
    <x v="17"/>
    <x v="17"/>
    <x v="1"/>
  </r>
  <r>
    <x v="0"/>
    <x v="0"/>
    <x v="0"/>
    <x v="18"/>
    <x v="18"/>
    <x v="18"/>
    <x v="18"/>
    <x v="18"/>
    <x v="18"/>
    <x v="18"/>
    <x v="18"/>
    <x v="18"/>
    <x v="18"/>
    <x v="7"/>
  </r>
  <r>
    <x v="0"/>
    <x v="0"/>
    <x v="0"/>
    <x v="19"/>
    <x v="19"/>
    <x v="19"/>
    <x v="19"/>
    <x v="19"/>
    <x v="19"/>
    <x v="19"/>
    <x v="19"/>
    <x v="19"/>
    <x v="19"/>
    <x v="1"/>
  </r>
  <r>
    <x v="0"/>
    <x v="1"/>
    <x v="1"/>
    <x v="0"/>
    <x v="0"/>
    <x v="0"/>
    <x v="0"/>
    <x v="20"/>
    <x v="20"/>
    <x v="20"/>
    <x v="20"/>
    <x v="20"/>
    <x v="20"/>
    <x v="7"/>
  </r>
  <r>
    <x v="0"/>
    <x v="1"/>
    <x v="1"/>
    <x v="2"/>
    <x v="2"/>
    <x v="2"/>
    <x v="1"/>
    <x v="21"/>
    <x v="21"/>
    <x v="21"/>
    <x v="21"/>
    <x v="21"/>
    <x v="21"/>
    <x v="6"/>
  </r>
  <r>
    <x v="0"/>
    <x v="1"/>
    <x v="1"/>
    <x v="1"/>
    <x v="1"/>
    <x v="1"/>
    <x v="2"/>
    <x v="22"/>
    <x v="22"/>
    <x v="22"/>
    <x v="22"/>
    <x v="22"/>
    <x v="1"/>
    <x v="7"/>
  </r>
  <r>
    <x v="0"/>
    <x v="1"/>
    <x v="1"/>
    <x v="7"/>
    <x v="7"/>
    <x v="7"/>
    <x v="3"/>
    <x v="23"/>
    <x v="23"/>
    <x v="23"/>
    <x v="23"/>
    <x v="20"/>
    <x v="20"/>
    <x v="0"/>
  </r>
  <r>
    <x v="0"/>
    <x v="1"/>
    <x v="1"/>
    <x v="3"/>
    <x v="3"/>
    <x v="3"/>
    <x v="4"/>
    <x v="24"/>
    <x v="24"/>
    <x v="24"/>
    <x v="24"/>
    <x v="23"/>
    <x v="22"/>
    <x v="1"/>
  </r>
  <r>
    <x v="0"/>
    <x v="1"/>
    <x v="1"/>
    <x v="6"/>
    <x v="6"/>
    <x v="6"/>
    <x v="5"/>
    <x v="25"/>
    <x v="25"/>
    <x v="25"/>
    <x v="25"/>
    <x v="24"/>
    <x v="6"/>
    <x v="6"/>
  </r>
  <r>
    <x v="0"/>
    <x v="1"/>
    <x v="1"/>
    <x v="8"/>
    <x v="8"/>
    <x v="8"/>
    <x v="6"/>
    <x v="26"/>
    <x v="26"/>
    <x v="26"/>
    <x v="26"/>
    <x v="25"/>
    <x v="23"/>
    <x v="7"/>
  </r>
  <r>
    <x v="0"/>
    <x v="1"/>
    <x v="1"/>
    <x v="5"/>
    <x v="5"/>
    <x v="5"/>
    <x v="7"/>
    <x v="27"/>
    <x v="27"/>
    <x v="27"/>
    <x v="27"/>
    <x v="26"/>
    <x v="24"/>
    <x v="4"/>
  </r>
  <r>
    <x v="0"/>
    <x v="1"/>
    <x v="1"/>
    <x v="9"/>
    <x v="9"/>
    <x v="9"/>
    <x v="8"/>
    <x v="28"/>
    <x v="28"/>
    <x v="28"/>
    <x v="28"/>
    <x v="27"/>
    <x v="25"/>
    <x v="7"/>
  </r>
  <r>
    <x v="0"/>
    <x v="1"/>
    <x v="1"/>
    <x v="4"/>
    <x v="4"/>
    <x v="4"/>
    <x v="9"/>
    <x v="29"/>
    <x v="29"/>
    <x v="29"/>
    <x v="29"/>
    <x v="28"/>
    <x v="26"/>
    <x v="7"/>
  </r>
  <r>
    <x v="0"/>
    <x v="1"/>
    <x v="1"/>
    <x v="14"/>
    <x v="14"/>
    <x v="14"/>
    <x v="10"/>
    <x v="30"/>
    <x v="30"/>
    <x v="30"/>
    <x v="30"/>
    <x v="29"/>
    <x v="27"/>
    <x v="7"/>
  </r>
  <r>
    <x v="0"/>
    <x v="1"/>
    <x v="1"/>
    <x v="11"/>
    <x v="11"/>
    <x v="11"/>
    <x v="11"/>
    <x v="31"/>
    <x v="31"/>
    <x v="31"/>
    <x v="31"/>
    <x v="30"/>
    <x v="28"/>
    <x v="3"/>
  </r>
  <r>
    <x v="0"/>
    <x v="1"/>
    <x v="1"/>
    <x v="12"/>
    <x v="12"/>
    <x v="12"/>
    <x v="12"/>
    <x v="32"/>
    <x v="32"/>
    <x v="32"/>
    <x v="32"/>
    <x v="31"/>
    <x v="29"/>
    <x v="7"/>
  </r>
  <r>
    <x v="0"/>
    <x v="1"/>
    <x v="1"/>
    <x v="13"/>
    <x v="13"/>
    <x v="13"/>
    <x v="13"/>
    <x v="33"/>
    <x v="33"/>
    <x v="33"/>
    <x v="33"/>
    <x v="32"/>
    <x v="30"/>
    <x v="1"/>
  </r>
  <r>
    <x v="0"/>
    <x v="1"/>
    <x v="1"/>
    <x v="17"/>
    <x v="17"/>
    <x v="17"/>
    <x v="14"/>
    <x v="34"/>
    <x v="12"/>
    <x v="34"/>
    <x v="34"/>
    <x v="33"/>
    <x v="14"/>
    <x v="7"/>
  </r>
  <r>
    <x v="0"/>
    <x v="1"/>
    <x v="1"/>
    <x v="18"/>
    <x v="18"/>
    <x v="18"/>
    <x v="15"/>
    <x v="35"/>
    <x v="34"/>
    <x v="35"/>
    <x v="35"/>
    <x v="34"/>
    <x v="31"/>
    <x v="7"/>
  </r>
  <r>
    <x v="0"/>
    <x v="1"/>
    <x v="1"/>
    <x v="10"/>
    <x v="10"/>
    <x v="10"/>
    <x v="16"/>
    <x v="36"/>
    <x v="35"/>
    <x v="36"/>
    <x v="36"/>
    <x v="35"/>
    <x v="32"/>
    <x v="7"/>
  </r>
  <r>
    <x v="0"/>
    <x v="1"/>
    <x v="1"/>
    <x v="19"/>
    <x v="19"/>
    <x v="19"/>
    <x v="17"/>
    <x v="37"/>
    <x v="36"/>
    <x v="37"/>
    <x v="37"/>
    <x v="36"/>
    <x v="33"/>
    <x v="7"/>
  </r>
  <r>
    <x v="0"/>
    <x v="1"/>
    <x v="1"/>
    <x v="20"/>
    <x v="20"/>
    <x v="20"/>
    <x v="18"/>
    <x v="38"/>
    <x v="18"/>
    <x v="38"/>
    <x v="38"/>
    <x v="37"/>
    <x v="15"/>
    <x v="8"/>
  </r>
  <r>
    <x v="0"/>
    <x v="1"/>
    <x v="1"/>
    <x v="15"/>
    <x v="15"/>
    <x v="15"/>
    <x v="19"/>
    <x v="39"/>
    <x v="18"/>
    <x v="39"/>
    <x v="39"/>
    <x v="38"/>
    <x v="34"/>
    <x v="7"/>
  </r>
  <r>
    <x v="0"/>
    <x v="2"/>
    <x v="2"/>
    <x v="2"/>
    <x v="2"/>
    <x v="2"/>
    <x v="0"/>
    <x v="40"/>
    <x v="37"/>
    <x v="40"/>
    <x v="40"/>
    <x v="39"/>
    <x v="35"/>
    <x v="1"/>
  </r>
  <r>
    <x v="0"/>
    <x v="2"/>
    <x v="2"/>
    <x v="0"/>
    <x v="0"/>
    <x v="0"/>
    <x v="1"/>
    <x v="41"/>
    <x v="38"/>
    <x v="41"/>
    <x v="41"/>
    <x v="40"/>
    <x v="36"/>
    <x v="7"/>
  </r>
  <r>
    <x v="0"/>
    <x v="2"/>
    <x v="2"/>
    <x v="1"/>
    <x v="1"/>
    <x v="1"/>
    <x v="2"/>
    <x v="42"/>
    <x v="39"/>
    <x v="42"/>
    <x v="42"/>
    <x v="41"/>
    <x v="37"/>
    <x v="7"/>
  </r>
  <r>
    <x v="0"/>
    <x v="2"/>
    <x v="2"/>
    <x v="7"/>
    <x v="7"/>
    <x v="7"/>
    <x v="3"/>
    <x v="43"/>
    <x v="40"/>
    <x v="43"/>
    <x v="43"/>
    <x v="42"/>
    <x v="38"/>
    <x v="7"/>
  </r>
  <r>
    <x v="0"/>
    <x v="2"/>
    <x v="2"/>
    <x v="3"/>
    <x v="3"/>
    <x v="3"/>
    <x v="4"/>
    <x v="44"/>
    <x v="41"/>
    <x v="44"/>
    <x v="44"/>
    <x v="43"/>
    <x v="39"/>
    <x v="7"/>
  </r>
  <r>
    <x v="0"/>
    <x v="2"/>
    <x v="2"/>
    <x v="6"/>
    <x v="6"/>
    <x v="6"/>
    <x v="5"/>
    <x v="45"/>
    <x v="42"/>
    <x v="45"/>
    <x v="45"/>
    <x v="44"/>
    <x v="40"/>
    <x v="7"/>
  </r>
  <r>
    <x v="0"/>
    <x v="2"/>
    <x v="2"/>
    <x v="9"/>
    <x v="9"/>
    <x v="9"/>
    <x v="6"/>
    <x v="46"/>
    <x v="43"/>
    <x v="46"/>
    <x v="46"/>
    <x v="45"/>
    <x v="41"/>
    <x v="7"/>
  </r>
  <r>
    <x v="0"/>
    <x v="2"/>
    <x v="2"/>
    <x v="13"/>
    <x v="13"/>
    <x v="13"/>
    <x v="7"/>
    <x v="47"/>
    <x v="44"/>
    <x v="47"/>
    <x v="47"/>
    <x v="46"/>
    <x v="42"/>
    <x v="7"/>
  </r>
  <r>
    <x v="0"/>
    <x v="2"/>
    <x v="2"/>
    <x v="19"/>
    <x v="19"/>
    <x v="19"/>
    <x v="8"/>
    <x v="48"/>
    <x v="45"/>
    <x v="48"/>
    <x v="48"/>
    <x v="47"/>
    <x v="43"/>
    <x v="7"/>
  </r>
  <r>
    <x v="0"/>
    <x v="2"/>
    <x v="2"/>
    <x v="11"/>
    <x v="11"/>
    <x v="11"/>
    <x v="9"/>
    <x v="49"/>
    <x v="46"/>
    <x v="49"/>
    <x v="49"/>
    <x v="48"/>
    <x v="44"/>
    <x v="7"/>
  </r>
  <r>
    <x v="0"/>
    <x v="2"/>
    <x v="2"/>
    <x v="12"/>
    <x v="12"/>
    <x v="12"/>
    <x v="10"/>
    <x v="50"/>
    <x v="47"/>
    <x v="50"/>
    <x v="50"/>
    <x v="49"/>
    <x v="45"/>
    <x v="7"/>
  </r>
  <r>
    <x v="0"/>
    <x v="2"/>
    <x v="2"/>
    <x v="17"/>
    <x v="17"/>
    <x v="17"/>
    <x v="11"/>
    <x v="51"/>
    <x v="48"/>
    <x v="51"/>
    <x v="51"/>
    <x v="50"/>
    <x v="46"/>
    <x v="7"/>
  </r>
  <r>
    <x v="0"/>
    <x v="2"/>
    <x v="2"/>
    <x v="5"/>
    <x v="5"/>
    <x v="5"/>
    <x v="12"/>
    <x v="52"/>
    <x v="49"/>
    <x v="52"/>
    <x v="52"/>
    <x v="51"/>
    <x v="47"/>
    <x v="7"/>
  </r>
  <r>
    <x v="0"/>
    <x v="2"/>
    <x v="2"/>
    <x v="4"/>
    <x v="4"/>
    <x v="4"/>
    <x v="13"/>
    <x v="53"/>
    <x v="50"/>
    <x v="53"/>
    <x v="53"/>
    <x v="52"/>
    <x v="0"/>
    <x v="7"/>
  </r>
  <r>
    <x v="0"/>
    <x v="2"/>
    <x v="2"/>
    <x v="14"/>
    <x v="14"/>
    <x v="14"/>
    <x v="13"/>
    <x v="53"/>
    <x v="50"/>
    <x v="53"/>
    <x v="53"/>
    <x v="52"/>
    <x v="0"/>
    <x v="7"/>
  </r>
  <r>
    <x v="0"/>
    <x v="2"/>
    <x v="2"/>
    <x v="8"/>
    <x v="8"/>
    <x v="8"/>
    <x v="15"/>
    <x v="54"/>
    <x v="51"/>
    <x v="48"/>
    <x v="48"/>
    <x v="53"/>
    <x v="48"/>
    <x v="7"/>
  </r>
  <r>
    <x v="0"/>
    <x v="2"/>
    <x v="2"/>
    <x v="20"/>
    <x v="20"/>
    <x v="20"/>
    <x v="16"/>
    <x v="55"/>
    <x v="36"/>
    <x v="54"/>
    <x v="54"/>
    <x v="54"/>
    <x v="49"/>
    <x v="3"/>
  </r>
  <r>
    <x v="0"/>
    <x v="2"/>
    <x v="2"/>
    <x v="21"/>
    <x v="21"/>
    <x v="21"/>
    <x v="17"/>
    <x v="56"/>
    <x v="52"/>
    <x v="55"/>
    <x v="55"/>
    <x v="55"/>
    <x v="50"/>
    <x v="1"/>
  </r>
  <r>
    <x v="0"/>
    <x v="2"/>
    <x v="2"/>
    <x v="10"/>
    <x v="10"/>
    <x v="10"/>
    <x v="18"/>
    <x v="57"/>
    <x v="53"/>
    <x v="56"/>
    <x v="56"/>
    <x v="56"/>
    <x v="51"/>
    <x v="7"/>
  </r>
  <r>
    <x v="0"/>
    <x v="2"/>
    <x v="2"/>
    <x v="18"/>
    <x v="18"/>
    <x v="18"/>
    <x v="19"/>
    <x v="58"/>
    <x v="54"/>
    <x v="57"/>
    <x v="57"/>
    <x v="57"/>
    <x v="52"/>
    <x v="7"/>
  </r>
  <r>
    <x v="0"/>
    <x v="2"/>
    <x v="2"/>
    <x v="22"/>
    <x v="22"/>
    <x v="22"/>
    <x v="19"/>
    <x v="58"/>
    <x v="54"/>
    <x v="57"/>
    <x v="57"/>
    <x v="57"/>
    <x v="52"/>
    <x v="7"/>
  </r>
  <r>
    <x v="0"/>
    <x v="3"/>
    <x v="3"/>
    <x v="2"/>
    <x v="2"/>
    <x v="2"/>
    <x v="0"/>
    <x v="59"/>
    <x v="55"/>
    <x v="58"/>
    <x v="58"/>
    <x v="58"/>
    <x v="53"/>
    <x v="1"/>
  </r>
  <r>
    <x v="0"/>
    <x v="3"/>
    <x v="3"/>
    <x v="7"/>
    <x v="7"/>
    <x v="7"/>
    <x v="1"/>
    <x v="60"/>
    <x v="56"/>
    <x v="59"/>
    <x v="59"/>
    <x v="59"/>
    <x v="54"/>
    <x v="7"/>
  </r>
  <r>
    <x v="0"/>
    <x v="3"/>
    <x v="3"/>
    <x v="0"/>
    <x v="0"/>
    <x v="0"/>
    <x v="2"/>
    <x v="61"/>
    <x v="57"/>
    <x v="60"/>
    <x v="60"/>
    <x v="44"/>
    <x v="55"/>
    <x v="7"/>
  </r>
  <r>
    <x v="0"/>
    <x v="3"/>
    <x v="3"/>
    <x v="1"/>
    <x v="1"/>
    <x v="1"/>
    <x v="3"/>
    <x v="62"/>
    <x v="58"/>
    <x v="61"/>
    <x v="61"/>
    <x v="60"/>
    <x v="56"/>
    <x v="7"/>
  </r>
  <r>
    <x v="0"/>
    <x v="3"/>
    <x v="3"/>
    <x v="3"/>
    <x v="3"/>
    <x v="3"/>
    <x v="4"/>
    <x v="63"/>
    <x v="59"/>
    <x v="62"/>
    <x v="62"/>
    <x v="61"/>
    <x v="57"/>
    <x v="7"/>
  </r>
  <r>
    <x v="0"/>
    <x v="3"/>
    <x v="3"/>
    <x v="6"/>
    <x v="6"/>
    <x v="6"/>
    <x v="5"/>
    <x v="64"/>
    <x v="60"/>
    <x v="63"/>
    <x v="63"/>
    <x v="62"/>
    <x v="58"/>
    <x v="7"/>
  </r>
  <r>
    <x v="0"/>
    <x v="3"/>
    <x v="3"/>
    <x v="19"/>
    <x v="19"/>
    <x v="19"/>
    <x v="6"/>
    <x v="65"/>
    <x v="27"/>
    <x v="64"/>
    <x v="37"/>
    <x v="63"/>
    <x v="59"/>
    <x v="7"/>
  </r>
  <r>
    <x v="0"/>
    <x v="3"/>
    <x v="3"/>
    <x v="14"/>
    <x v="14"/>
    <x v="14"/>
    <x v="7"/>
    <x v="66"/>
    <x v="61"/>
    <x v="65"/>
    <x v="64"/>
    <x v="64"/>
    <x v="60"/>
    <x v="7"/>
  </r>
  <r>
    <x v="0"/>
    <x v="3"/>
    <x v="3"/>
    <x v="13"/>
    <x v="13"/>
    <x v="13"/>
    <x v="7"/>
    <x v="66"/>
    <x v="61"/>
    <x v="66"/>
    <x v="65"/>
    <x v="65"/>
    <x v="61"/>
    <x v="7"/>
  </r>
  <r>
    <x v="0"/>
    <x v="3"/>
    <x v="3"/>
    <x v="9"/>
    <x v="9"/>
    <x v="9"/>
    <x v="7"/>
    <x v="66"/>
    <x v="61"/>
    <x v="38"/>
    <x v="66"/>
    <x v="66"/>
    <x v="62"/>
    <x v="7"/>
  </r>
  <r>
    <x v="0"/>
    <x v="3"/>
    <x v="3"/>
    <x v="17"/>
    <x v="17"/>
    <x v="17"/>
    <x v="10"/>
    <x v="67"/>
    <x v="62"/>
    <x v="52"/>
    <x v="34"/>
    <x v="67"/>
    <x v="63"/>
    <x v="7"/>
  </r>
  <r>
    <x v="0"/>
    <x v="3"/>
    <x v="3"/>
    <x v="4"/>
    <x v="4"/>
    <x v="4"/>
    <x v="11"/>
    <x v="68"/>
    <x v="63"/>
    <x v="67"/>
    <x v="67"/>
    <x v="61"/>
    <x v="57"/>
    <x v="7"/>
  </r>
  <r>
    <x v="0"/>
    <x v="3"/>
    <x v="3"/>
    <x v="11"/>
    <x v="11"/>
    <x v="11"/>
    <x v="12"/>
    <x v="69"/>
    <x v="64"/>
    <x v="68"/>
    <x v="68"/>
    <x v="68"/>
    <x v="64"/>
    <x v="7"/>
  </r>
  <r>
    <x v="0"/>
    <x v="3"/>
    <x v="3"/>
    <x v="18"/>
    <x v="18"/>
    <x v="18"/>
    <x v="13"/>
    <x v="70"/>
    <x v="65"/>
    <x v="54"/>
    <x v="69"/>
    <x v="53"/>
    <x v="65"/>
    <x v="7"/>
  </r>
  <r>
    <x v="0"/>
    <x v="3"/>
    <x v="3"/>
    <x v="20"/>
    <x v="20"/>
    <x v="20"/>
    <x v="13"/>
    <x v="70"/>
    <x v="65"/>
    <x v="67"/>
    <x v="67"/>
    <x v="69"/>
    <x v="66"/>
    <x v="4"/>
  </r>
  <r>
    <x v="0"/>
    <x v="3"/>
    <x v="3"/>
    <x v="8"/>
    <x v="8"/>
    <x v="8"/>
    <x v="15"/>
    <x v="71"/>
    <x v="66"/>
    <x v="52"/>
    <x v="34"/>
    <x v="70"/>
    <x v="67"/>
    <x v="7"/>
  </r>
  <r>
    <x v="0"/>
    <x v="3"/>
    <x v="3"/>
    <x v="12"/>
    <x v="12"/>
    <x v="12"/>
    <x v="15"/>
    <x v="71"/>
    <x v="66"/>
    <x v="69"/>
    <x v="70"/>
    <x v="71"/>
    <x v="11"/>
    <x v="7"/>
  </r>
  <r>
    <x v="0"/>
    <x v="3"/>
    <x v="3"/>
    <x v="21"/>
    <x v="21"/>
    <x v="21"/>
    <x v="17"/>
    <x v="72"/>
    <x v="67"/>
    <x v="51"/>
    <x v="71"/>
    <x v="72"/>
    <x v="68"/>
    <x v="7"/>
  </r>
  <r>
    <x v="0"/>
    <x v="3"/>
    <x v="3"/>
    <x v="23"/>
    <x v="23"/>
    <x v="23"/>
    <x v="18"/>
    <x v="73"/>
    <x v="68"/>
    <x v="70"/>
    <x v="72"/>
    <x v="73"/>
    <x v="69"/>
    <x v="7"/>
  </r>
  <r>
    <x v="0"/>
    <x v="3"/>
    <x v="3"/>
    <x v="5"/>
    <x v="5"/>
    <x v="5"/>
    <x v="19"/>
    <x v="74"/>
    <x v="69"/>
    <x v="67"/>
    <x v="67"/>
    <x v="57"/>
    <x v="70"/>
    <x v="7"/>
  </r>
  <r>
    <x v="0"/>
    <x v="4"/>
    <x v="4"/>
    <x v="0"/>
    <x v="0"/>
    <x v="0"/>
    <x v="0"/>
    <x v="75"/>
    <x v="70"/>
    <x v="71"/>
    <x v="73"/>
    <x v="74"/>
    <x v="71"/>
    <x v="7"/>
  </r>
  <r>
    <x v="0"/>
    <x v="4"/>
    <x v="4"/>
    <x v="2"/>
    <x v="2"/>
    <x v="2"/>
    <x v="1"/>
    <x v="76"/>
    <x v="71"/>
    <x v="72"/>
    <x v="74"/>
    <x v="75"/>
    <x v="72"/>
    <x v="1"/>
  </r>
  <r>
    <x v="0"/>
    <x v="4"/>
    <x v="4"/>
    <x v="1"/>
    <x v="1"/>
    <x v="1"/>
    <x v="2"/>
    <x v="77"/>
    <x v="72"/>
    <x v="73"/>
    <x v="75"/>
    <x v="76"/>
    <x v="19"/>
    <x v="7"/>
  </r>
  <r>
    <x v="0"/>
    <x v="4"/>
    <x v="4"/>
    <x v="8"/>
    <x v="8"/>
    <x v="8"/>
    <x v="3"/>
    <x v="45"/>
    <x v="23"/>
    <x v="74"/>
    <x v="76"/>
    <x v="77"/>
    <x v="73"/>
    <x v="7"/>
  </r>
  <r>
    <x v="0"/>
    <x v="4"/>
    <x v="4"/>
    <x v="5"/>
    <x v="5"/>
    <x v="5"/>
    <x v="4"/>
    <x v="78"/>
    <x v="73"/>
    <x v="75"/>
    <x v="77"/>
    <x v="78"/>
    <x v="74"/>
    <x v="7"/>
  </r>
  <r>
    <x v="0"/>
    <x v="4"/>
    <x v="4"/>
    <x v="3"/>
    <x v="3"/>
    <x v="3"/>
    <x v="5"/>
    <x v="79"/>
    <x v="74"/>
    <x v="76"/>
    <x v="7"/>
    <x v="79"/>
    <x v="42"/>
    <x v="7"/>
  </r>
  <r>
    <x v="0"/>
    <x v="4"/>
    <x v="4"/>
    <x v="7"/>
    <x v="7"/>
    <x v="7"/>
    <x v="6"/>
    <x v="80"/>
    <x v="75"/>
    <x v="77"/>
    <x v="78"/>
    <x v="80"/>
    <x v="75"/>
    <x v="7"/>
  </r>
  <r>
    <x v="0"/>
    <x v="4"/>
    <x v="4"/>
    <x v="9"/>
    <x v="9"/>
    <x v="9"/>
    <x v="7"/>
    <x v="81"/>
    <x v="76"/>
    <x v="78"/>
    <x v="79"/>
    <x v="81"/>
    <x v="76"/>
    <x v="7"/>
  </r>
  <r>
    <x v="0"/>
    <x v="4"/>
    <x v="4"/>
    <x v="4"/>
    <x v="4"/>
    <x v="4"/>
    <x v="8"/>
    <x v="82"/>
    <x v="7"/>
    <x v="55"/>
    <x v="80"/>
    <x v="43"/>
    <x v="77"/>
    <x v="7"/>
  </r>
  <r>
    <x v="0"/>
    <x v="4"/>
    <x v="4"/>
    <x v="11"/>
    <x v="11"/>
    <x v="11"/>
    <x v="9"/>
    <x v="83"/>
    <x v="77"/>
    <x v="79"/>
    <x v="81"/>
    <x v="82"/>
    <x v="30"/>
    <x v="7"/>
  </r>
  <r>
    <x v="0"/>
    <x v="4"/>
    <x v="4"/>
    <x v="6"/>
    <x v="6"/>
    <x v="6"/>
    <x v="10"/>
    <x v="84"/>
    <x v="78"/>
    <x v="76"/>
    <x v="7"/>
    <x v="68"/>
    <x v="78"/>
    <x v="7"/>
  </r>
  <r>
    <x v="0"/>
    <x v="4"/>
    <x v="4"/>
    <x v="17"/>
    <x v="17"/>
    <x v="17"/>
    <x v="11"/>
    <x v="85"/>
    <x v="79"/>
    <x v="56"/>
    <x v="82"/>
    <x v="83"/>
    <x v="79"/>
    <x v="7"/>
  </r>
  <r>
    <x v="0"/>
    <x v="4"/>
    <x v="4"/>
    <x v="13"/>
    <x v="13"/>
    <x v="13"/>
    <x v="12"/>
    <x v="86"/>
    <x v="80"/>
    <x v="75"/>
    <x v="77"/>
    <x v="57"/>
    <x v="50"/>
    <x v="7"/>
  </r>
  <r>
    <x v="0"/>
    <x v="4"/>
    <x v="4"/>
    <x v="10"/>
    <x v="10"/>
    <x v="10"/>
    <x v="13"/>
    <x v="52"/>
    <x v="34"/>
    <x v="80"/>
    <x v="83"/>
    <x v="84"/>
    <x v="80"/>
    <x v="7"/>
  </r>
  <r>
    <x v="0"/>
    <x v="4"/>
    <x v="4"/>
    <x v="14"/>
    <x v="14"/>
    <x v="14"/>
    <x v="14"/>
    <x v="87"/>
    <x v="49"/>
    <x v="81"/>
    <x v="84"/>
    <x v="85"/>
    <x v="66"/>
    <x v="7"/>
  </r>
  <r>
    <x v="0"/>
    <x v="4"/>
    <x v="4"/>
    <x v="23"/>
    <x v="23"/>
    <x v="23"/>
    <x v="15"/>
    <x v="69"/>
    <x v="51"/>
    <x v="82"/>
    <x v="27"/>
    <x v="80"/>
    <x v="75"/>
    <x v="7"/>
  </r>
  <r>
    <x v="0"/>
    <x v="4"/>
    <x v="4"/>
    <x v="18"/>
    <x v="18"/>
    <x v="18"/>
    <x v="16"/>
    <x v="88"/>
    <x v="81"/>
    <x v="64"/>
    <x v="85"/>
    <x v="86"/>
    <x v="81"/>
    <x v="7"/>
  </r>
  <r>
    <x v="0"/>
    <x v="4"/>
    <x v="4"/>
    <x v="21"/>
    <x v="21"/>
    <x v="21"/>
    <x v="17"/>
    <x v="89"/>
    <x v="82"/>
    <x v="83"/>
    <x v="86"/>
    <x v="87"/>
    <x v="82"/>
    <x v="7"/>
  </r>
  <r>
    <x v="0"/>
    <x v="4"/>
    <x v="4"/>
    <x v="19"/>
    <x v="19"/>
    <x v="19"/>
    <x v="18"/>
    <x v="90"/>
    <x v="83"/>
    <x v="84"/>
    <x v="87"/>
    <x v="62"/>
    <x v="45"/>
    <x v="7"/>
  </r>
  <r>
    <x v="0"/>
    <x v="4"/>
    <x v="4"/>
    <x v="22"/>
    <x v="22"/>
    <x v="22"/>
    <x v="19"/>
    <x v="91"/>
    <x v="84"/>
    <x v="57"/>
    <x v="57"/>
    <x v="88"/>
    <x v="83"/>
    <x v="4"/>
  </r>
  <r>
    <x v="0"/>
    <x v="5"/>
    <x v="5"/>
    <x v="0"/>
    <x v="0"/>
    <x v="0"/>
    <x v="0"/>
    <x v="92"/>
    <x v="85"/>
    <x v="85"/>
    <x v="88"/>
    <x v="83"/>
    <x v="48"/>
    <x v="7"/>
  </r>
  <r>
    <x v="0"/>
    <x v="5"/>
    <x v="5"/>
    <x v="2"/>
    <x v="2"/>
    <x v="2"/>
    <x v="1"/>
    <x v="93"/>
    <x v="86"/>
    <x v="86"/>
    <x v="89"/>
    <x v="89"/>
    <x v="84"/>
    <x v="7"/>
  </r>
  <r>
    <x v="0"/>
    <x v="5"/>
    <x v="5"/>
    <x v="1"/>
    <x v="1"/>
    <x v="1"/>
    <x v="2"/>
    <x v="94"/>
    <x v="87"/>
    <x v="87"/>
    <x v="90"/>
    <x v="90"/>
    <x v="85"/>
    <x v="7"/>
  </r>
  <r>
    <x v="0"/>
    <x v="5"/>
    <x v="5"/>
    <x v="3"/>
    <x v="3"/>
    <x v="3"/>
    <x v="3"/>
    <x v="95"/>
    <x v="88"/>
    <x v="72"/>
    <x v="91"/>
    <x v="64"/>
    <x v="86"/>
    <x v="7"/>
  </r>
  <r>
    <x v="0"/>
    <x v="5"/>
    <x v="5"/>
    <x v="8"/>
    <x v="8"/>
    <x v="8"/>
    <x v="4"/>
    <x v="96"/>
    <x v="89"/>
    <x v="74"/>
    <x v="55"/>
    <x v="91"/>
    <x v="87"/>
    <x v="7"/>
  </r>
  <r>
    <x v="0"/>
    <x v="5"/>
    <x v="5"/>
    <x v="7"/>
    <x v="7"/>
    <x v="7"/>
    <x v="5"/>
    <x v="46"/>
    <x v="90"/>
    <x v="88"/>
    <x v="92"/>
    <x v="92"/>
    <x v="13"/>
    <x v="1"/>
  </r>
  <r>
    <x v="0"/>
    <x v="5"/>
    <x v="5"/>
    <x v="5"/>
    <x v="5"/>
    <x v="5"/>
    <x v="6"/>
    <x v="97"/>
    <x v="91"/>
    <x v="89"/>
    <x v="93"/>
    <x v="93"/>
    <x v="88"/>
    <x v="7"/>
  </r>
  <r>
    <x v="0"/>
    <x v="5"/>
    <x v="5"/>
    <x v="4"/>
    <x v="4"/>
    <x v="4"/>
    <x v="7"/>
    <x v="98"/>
    <x v="92"/>
    <x v="90"/>
    <x v="94"/>
    <x v="94"/>
    <x v="5"/>
    <x v="7"/>
  </r>
  <r>
    <x v="0"/>
    <x v="5"/>
    <x v="5"/>
    <x v="9"/>
    <x v="9"/>
    <x v="9"/>
    <x v="8"/>
    <x v="63"/>
    <x v="10"/>
    <x v="77"/>
    <x v="95"/>
    <x v="95"/>
    <x v="89"/>
    <x v="7"/>
  </r>
  <r>
    <x v="0"/>
    <x v="5"/>
    <x v="5"/>
    <x v="14"/>
    <x v="14"/>
    <x v="14"/>
    <x v="9"/>
    <x v="99"/>
    <x v="93"/>
    <x v="81"/>
    <x v="84"/>
    <x v="96"/>
    <x v="90"/>
    <x v="7"/>
  </r>
  <r>
    <x v="0"/>
    <x v="5"/>
    <x v="5"/>
    <x v="6"/>
    <x v="6"/>
    <x v="6"/>
    <x v="10"/>
    <x v="100"/>
    <x v="94"/>
    <x v="91"/>
    <x v="96"/>
    <x v="97"/>
    <x v="91"/>
    <x v="1"/>
  </r>
  <r>
    <x v="0"/>
    <x v="5"/>
    <x v="5"/>
    <x v="17"/>
    <x v="17"/>
    <x v="17"/>
    <x v="11"/>
    <x v="49"/>
    <x v="48"/>
    <x v="92"/>
    <x v="97"/>
    <x v="64"/>
    <x v="86"/>
    <x v="7"/>
  </r>
  <r>
    <x v="0"/>
    <x v="5"/>
    <x v="5"/>
    <x v="11"/>
    <x v="11"/>
    <x v="11"/>
    <x v="12"/>
    <x v="101"/>
    <x v="95"/>
    <x v="93"/>
    <x v="98"/>
    <x v="98"/>
    <x v="92"/>
    <x v="7"/>
  </r>
  <r>
    <x v="0"/>
    <x v="5"/>
    <x v="5"/>
    <x v="24"/>
    <x v="24"/>
    <x v="24"/>
    <x v="13"/>
    <x v="85"/>
    <x v="96"/>
    <x v="94"/>
    <x v="99"/>
    <x v="99"/>
    <x v="93"/>
    <x v="7"/>
  </r>
  <r>
    <x v="0"/>
    <x v="5"/>
    <x v="5"/>
    <x v="23"/>
    <x v="23"/>
    <x v="23"/>
    <x v="14"/>
    <x v="102"/>
    <x v="97"/>
    <x v="95"/>
    <x v="8"/>
    <x v="65"/>
    <x v="94"/>
    <x v="7"/>
  </r>
  <r>
    <x v="0"/>
    <x v="5"/>
    <x v="5"/>
    <x v="12"/>
    <x v="12"/>
    <x v="12"/>
    <x v="14"/>
    <x v="102"/>
    <x v="97"/>
    <x v="96"/>
    <x v="100"/>
    <x v="82"/>
    <x v="95"/>
    <x v="7"/>
  </r>
  <r>
    <x v="0"/>
    <x v="5"/>
    <x v="5"/>
    <x v="15"/>
    <x v="15"/>
    <x v="15"/>
    <x v="16"/>
    <x v="103"/>
    <x v="98"/>
    <x v="95"/>
    <x v="8"/>
    <x v="90"/>
    <x v="85"/>
    <x v="7"/>
  </r>
  <r>
    <x v="0"/>
    <x v="5"/>
    <x v="5"/>
    <x v="13"/>
    <x v="13"/>
    <x v="13"/>
    <x v="17"/>
    <x v="104"/>
    <x v="99"/>
    <x v="66"/>
    <x v="101"/>
    <x v="100"/>
    <x v="96"/>
    <x v="7"/>
  </r>
  <r>
    <x v="0"/>
    <x v="5"/>
    <x v="5"/>
    <x v="18"/>
    <x v="18"/>
    <x v="18"/>
    <x v="18"/>
    <x v="86"/>
    <x v="100"/>
    <x v="54"/>
    <x v="102"/>
    <x v="101"/>
    <x v="97"/>
    <x v="7"/>
  </r>
  <r>
    <x v="0"/>
    <x v="5"/>
    <x v="5"/>
    <x v="10"/>
    <x v="10"/>
    <x v="10"/>
    <x v="19"/>
    <x v="105"/>
    <x v="101"/>
    <x v="97"/>
    <x v="103"/>
    <x v="74"/>
    <x v="98"/>
    <x v="7"/>
  </r>
  <r>
    <x v="0"/>
    <x v="6"/>
    <x v="6"/>
    <x v="0"/>
    <x v="0"/>
    <x v="0"/>
    <x v="0"/>
    <x v="106"/>
    <x v="102"/>
    <x v="98"/>
    <x v="104"/>
    <x v="102"/>
    <x v="26"/>
    <x v="7"/>
  </r>
  <r>
    <x v="0"/>
    <x v="6"/>
    <x v="6"/>
    <x v="2"/>
    <x v="2"/>
    <x v="2"/>
    <x v="1"/>
    <x v="107"/>
    <x v="103"/>
    <x v="99"/>
    <x v="105"/>
    <x v="103"/>
    <x v="99"/>
    <x v="3"/>
  </r>
  <r>
    <x v="0"/>
    <x v="6"/>
    <x v="6"/>
    <x v="1"/>
    <x v="1"/>
    <x v="1"/>
    <x v="2"/>
    <x v="108"/>
    <x v="104"/>
    <x v="100"/>
    <x v="106"/>
    <x v="104"/>
    <x v="100"/>
    <x v="7"/>
  </r>
  <r>
    <x v="0"/>
    <x v="6"/>
    <x v="6"/>
    <x v="7"/>
    <x v="7"/>
    <x v="7"/>
    <x v="3"/>
    <x v="109"/>
    <x v="105"/>
    <x v="101"/>
    <x v="107"/>
    <x v="78"/>
    <x v="101"/>
    <x v="1"/>
  </r>
  <r>
    <x v="0"/>
    <x v="6"/>
    <x v="6"/>
    <x v="3"/>
    <x v="3"/>
    <x v="3"/>
    <x v="4"/>
    <x v="110"/>
    <x v="106"/>
    <x v="30"/>
    <x v="108"/>
    <x v="105"/>
    <x v="102"/>
    <x v="7"/>
  </r>
  <r>
    <x v="0"/>
    <x v="6"/>
    <x v="6"/>
    <x v="14"/>
    <x v="14"/>
    <x v="14"/>
    <x v="5"/>
    <x v="111"/>
    <x v="107"/>
    <x v="84"/>
    <x v="109"/>
    <x v="106"/>
    <x v="103"/>
    <x v="7"/>
  </r>
  <r>
    <x v="0"/>
    <x v="6"/>
    <x v="6"/>
    <x v="9"/>
    <x v="9"/>
    <x v="9"/>
    <x v="6"/>
    <x v="112"/>
    <x v="108"/>
    <x v="102"/>
    <x v="110"/>
    <x v="107"/>
    <x v="104"/>
    <x v="7"/>
  </r>
  <r>
    <x v="0"/>
    <x v="6"/>
    <x v="6"/>
    <x v="11"/>
    <x v="11"/>
    <x v="11"/>
    <x v="7"/>
    <x v="80"/>
    <x v="109"/>
    <x v="103"/>
    <x v="111"/>
    <x v="67"/>
    <x v="105"/>
    <x v="7"/>
  </r>
  <r>
    <x v="0"/>
    <x v="6"/>
    <x v="6"/>
    <x v="12"/>
    <x v="12"/>
    <x v="12"/>
    <x v="8"/>
    <x v="113"/>
    <x v="110"/>
    <x v="104"/>
    <x v="112"/>
    <x v="108"/>
    <x v="106"/>
    <x v="7"/>
  </r>
  <r>
    <x v="0"/>
    <x v="6"/>
    <x v="6"/>
    <x v="8"/>
    <x v="8"/>
    <x v="8"/>
    <x v="9"/>
    <x v="114"/>
    <x v="111"/>
    <x v="90"/>
    <x v="113"/>
    <x v="109"/>
    <x v="90"/>
    <x v="7"/>
  </r>
  <r>
    <x v="0"/>
    <x v="6"/>
    <x v="6"/>
    <x v="5"/>
    <x v="5"/>
    <x v="5"/>
    <x v="10"/>
    <x v="115"/>
    <x v="112"/>
    <x v="51"/>
    <x v="51"/>
    <x v="110"/>
    <x v="27"/>
    <x v="1"/>
  </r>
  <r>
    <x v="0"/>
    <x v="6"/>
    <x v="6"/>
    <x v="6"/>
    <x v="6"/>
    <x v="6"/>
    <x v="10"/>
    <x v="115"/>
    <x v="112"/>
    <x v="38"/>
    <x v="114"/>
    <x v="111"/>
    <x v="107"/>
    <x v="9"/>
  </r>
  <r>
    <x v="0"/>
    <x v="6"/>
    <x v="6"/>
    <x v="18"/>
    <x v="18"/>
    <x v="18"/>
    <x v="12"/>
    <x v="116"/>
    <x v="30"/>
    <x v="64"/>
    <x v="115"/>
    <x v="43"/>
    <x v="108"/>
    <x v="7"/>
  </r>
  <r>
    <x v="0"/>
    <x v="6"/>
    <x v="6"/>
    <x v="17"/>
    <x v="17"/>
    <x v="17"/>
    <x v="13"/>
    <x v="117"/>
    <x v="113"/>
    <x v="56"/>
    <x v="116"/>
    <x v="40"/>
    <x v="109"/>
    <x v="7"/>
  </r>
  <r>
    <x v="0"/>
    <x v="6"/>
    <x v="6"/>
    <x v="4"/>
    <x v="4"/>
    <x v="4"/>
    <x v="14"/>
    <x v="84"/>
    <x v="114"/>
    <x v="105"/>
    <x v="117"/>
    <x v="112"/>
    <x v="110"/>
    <x v="7"/>
  </r>
  <r>
    <x v="0"/>
    <x v="6"/>
    <x v="6"/>
    <x v="20"/>
    <x v="20"/>
    <x v="20"/>
    <x v="15"/>
    <x v="118"/>
    <x v="33"/>
    <x v="52"/>
    <x v="52"/>
    <x v="113"/>
    <x v="56"/>
    <x v="3"/>
  </r>
  <r>
    <x v="0"/>
    <x v="6"/>
    <x v="6"/>
    <x v="24"/>
    <x v="24"/>
    <x v="24"/>
    <x v="16"/>
    <x v="119"/>
    <x v="115"/>
    <x v="106"/>
    <x v="118"/>
    <x v="99"/>
    <x v="30"/>
    <x v="7"/>
  </r>
  <r>
    <x v="0"/>
    <x v="6"/>
    <x v="6"/>
    <x v="21"/>
    <x v="21"/>
    <x v="21"/>
    <x v="17"/>
    <x v="120"/>
    <x v="35"/>
    <x v="107"/>
    <x v="119"/>
    <x v="114"/>
    <x v="94"/>
    <x v="1"/>
  </r>
  <r>
    <x v="0"/>
    <x v="6"/>
    <x v="6"/>
    <x v="13"/>
    <x v="13"/>
    <x v="13"/>
    <x v="18"/>
    <x v="105"/>
    <x v="52"/>
    <x v="69"/>
    <x v="120"/>
    <x v="49"/>
    <x v="111"/>
    <x v="7"/>
  </r>
  <r>
    <x v="0"/>
    <x v="6"/>
    <x v="6"/>
    <x v="19"/>
    <x v="19"/>
    <x v="19"/>
    <x v="19"/>
    <x v="68"/>
    <x v="116"/>
    <x v="70"/>
    <x v="121"/>
    <x v="115"/>
    <x v="112"/>
    <x v="7"/>
  </r>
  <r>
    <x v="0"/>
    <x v="7"/>
    <x v="7"/>
    <x v="0"/>
    <x v="0"/>
    <x v="0"/>
    <x v="0"/>
    <x v="121"/>
    <x v="117"/>
    <x v="108"/>
    <x v="122"/>
    <x v="116"/>
    <x v="113"/>
    <x v="7"/>
  </r>
  <r>
    <x v="0"/>
    <x v="7"/>
    <x v="7"/>
    <x v="7"/>
    <x v="7"/>
    <x v="7"/>
    <x v="1"/>
    <x v="122"/>
    <x v="118"/>
    <x v="109"/>
    <x v="123"/>
    <x v="117"/>
    <x v="114"/>
    <x v="4"/>
  </r>
  <r>
    <x v="0"/>
    <x v="7"/>
    <x v="7"/>
    <x v="2"/>
    <x v="2"/>
    <x v="2"/>
    <x v="2"/>
    <x v="123"/>
    <x v="119"/>
    <x v="110"/>
    <x v="93"/>
    <x v="118"/>
    <x v="115"/>
    <x v="4"/>
  </r>
  <r>
    <x v="0"/>
    <x v="7"/>
    <x v="7"/>
    <x v="3"/>
    <x v="3"/>
    <x v="3"/>
    <x v="3"/>
    <x v="124"/>
    <x v="120"/>
    <x v="111"/>
    <x v="124"/>
    <x v="119"/>
    <x v="116"/>
    <x v="7"/>
  </r>
  <r>
    <x v="0"/>
    <x v="7"/>
    <x v="7"/>
    <x v="1"/>
    <x v="1"/>
    <x v="1"/>
    <x v="4"/>
    <x v="125"/>
    <x v="121"/>
    <x v="112"/>
    <x v="125"/>
    <x v="120"/>
    <x v="117"/>
    <x v="7"/>
  </r>
  <r>
    <x v="0"/>
    <x v="7"/>
    <x v="7"/>
    <x v="12"/>
    <x v="12"/>
    <x v="12"/>
    <x v="5"/>
    <x v="126"/>
    <x v="122"/>
    <x v="113"/>
    <x v="126"/>
    <x v="121"/>
    <x v="118"/>
    <x v="7"/>
  </r>
  <r>
    <x v="0"/>
    <x v="7"/>
    <x v="7"/>
    <x v="14"/>
    <x v="14"/>
    <x v="14"/>
    <x v="6"/>
    <x v="127"/>
    <x v="123"/>
    <x v="64"/>
    <x v="127"/>
    <x v="122"/>
    <x v="119"/>
    <x v="7"/>
  </r>
  <r>
    <x v="0"/>
    <x v="7"/>
    <x v="7"/>
    <x v="18"/>
    <x v="18"/>
    <x v="18"/>
    <x v="7"/>
    <x v="110"/>
    <x v="124"/>
    <x v="64"/>
    <x v="127"/>
    <x v="123"/>
    <x v="120"/>
    <x v="7"/>
  </r>
  <r>
    <x v="0"/>
    <x v="7"/>
    <x v="7"/>
    <x v="17"/>
    <x v="17"/>
    <x v="17"/>
    <x v="8"/>
    <x v="128"/>
    <x v="125"/>
    <x v="107"/>
    <x v="128"/>
    <x v="124"/>
    <x v="121"/>
    <x v="7"/>
  </r>
  <r>
    <x v="0"/>
    <x v="7"/>
    <x v="7"/>
    <x v="13"/>
    <x v="13"/>
    <x v="13"/>
    <x v="9"/>
    <x v="129"/>
    <x v="113"/>
    <x v="114"/>
    <x v="129"/>
    <x v="125"/>
    <x v="65"/>
    <x v="1"/>
  </r>
  <r>
    <x v="0"/>
    <x v="7"/>
    <x v="7"/>
    <x v="6"/>
    <x v="6"/>
    <x v="6"/>
    <x v="10"/>
    <x v="130"/>
    <x v="114"/>
    <x v="115"/>
    <x v="130"/>
    <x v="126"/>
    <x v="80"/>
    <x v="10"/>
  </r>
  <r>
    <x v="0"/>
    <x v="7"/>
    <x v="7"/>
    <x v="20"/>
    <x v="20"/>
    <x v="20"/>
    <x v="11"/>
    <x v="131"/>
    <x v="126"/>
    <x v="92"/>
    <x v="131"/>
    <x v="127"/>
    <x v="122"/>
    <x v="10"/>
  </r>
  <r>
    <x v="0"/>
    <x v="7"/>
    <x v="7"/>
    <x v="9"/>
    <x v="9"/>
    <x v="9"/>
    <x v="12"/>
    <x v="132"/>
    <x v="65"/>
    <x v="116"/>
    <x v="132"/>
    <x v="56"/>
    <x v="123"/>
    <x v="7"/>
  </r>
  <r>
    <x v="0"/>
    <x v="7"/>
    <x v="7"/>
    <x v="25"/>
    <x v="25"/>
    <x v="25"/>
    <x v="13"/>
    <x v="133"/>
    <x v="127"/>
    <x v="67"/>
    <x v="133"/>
    <x v="128"/>
    <x v="124"/>
    <x v="7"/>
  </r>
  <r>
    <x v="0"/>
    <x v="7"/>
    <x v="7"/>
    <x v="19"/>
    <x v="19"/>
    <x v="19"/>
    <x v="14"/>
    <x v="134"/>
    <x v="128"/>
    <x v="52"/>
    <x v="134"/>
    <x v="129"/>
    <x v="0"/>
    <x v="7"/>
  </r>
  <r>
    <x v="0"/>
    <x v="7"/>
    <x v="7"/>
    <x v="11"/>
    <x v="11"/>
    <x v="11"/>
    <x v="15"/>
    <x v="116"/>
    <x v="129"/>
    <x v="110"/>
    <x v="93"/>
    <x v="61"/>
    <x v="125"/>
    <x v="4"/>
  </r>
  <r>
    <x v="0"/>
    <x v="7"/>
    <x v="7"/>
    <x v="4"/>
    <x v="4"/>
    <x v="4"/>
    <x v="16"/>
    <x v="63"/>
    <x v="19"/>
    <x v="117"/>
    <x v="135"/>
    <x v="42"/>
    <x v="126"/>
    <x v="7"/>
  </r>
  <r>
    <x v="0"/>
    <x v="7"/>
    <x v="7"/>
    <x v="21"/>
    <x v="21"/>
    <x v="21"/>
    <x v="17"/>
    <x v="100"/>
    <x v="130"/>
    <x v="69"/>
    <x v="99"/>
    <x v="130"/>
    <x v="127"/>
    <x v="7"/>
  </r>
  <r>
    <x v="0"/>
    <x v="7"/>
    <x v="7"/>
    <x v="26"/>
    <x v="26"/>
    <x v="26"/>
    <x v="18"/>
    <x v="48"/>
    <x v="131"/>
    <x v="117"/>
    <x v="135"/>
    <x v="131"/>
    <x v="128"/>
    <x v="1"/>
  </r>
  <r>
    <x v="0"/>
    <x v="7"/>
    <x v="7"/>
    <x v="5"/>
    <x v="5"/>
    <x v="5"/>
    <x v="19"/>
    <x v="135"/>
    <x v="132"/>
    <x v="84"/>
    <x v="136"/>
    <x v="132"/>
    <x v="129"/>
    <x v="7"/>
  </r>
  <r>
    <x v="0"/>
    <x v="8"/>
    <x v="8"/>
    <x v="2"/>
    <x v="2"/>
    <x v="2"/>
    <x v="0"/>
    <x v="75"/>
    <x v="133"/>
    <x v="118"/>
    <x v="137"/>
    <x v="133"/>
    <x v="130"/>
    <x v="1"/>
  </r>
  <r>
    <x v="0"/>
    <x v="8"/>
    <x v="8"/>
    <x v="0"/>
    <x v="0"/>
    <x v="0"/>
    <x v="1"/>
    <x v="136"/>
    <x v="134"/>
    <x v="60"/>
    <x v="138"/>
    <x v="115"/>
    <x v="90"/>
    <x v="7"/>
  </r>
  <r>
    <x v="0"/>
    <x v="8"/>
    <x v="8"/>
    <x v="1"/>
    <x v="1"/>
    <x v="1"/>
    <x v="2"/>
    <x v="137"/>
    <x v="135"/>
    <x v="119"/>
    <x v="139"/>
    <x v="86"/>
    <x v="131"/>
    <x v="7"/>
  </r>
  <r>
    <x v="0"/>
    <x v="8"/>
    <x v="8"/>
    <x v="3"/>
    <x v="3"/>
    <x v="3"/>
    <x v="3"/>
    <x v="138"/>
    <x v="136"/>
    <x v="120"/>
    <x v="140"/>
    <x v="52"/>
    <x v="132"/>
    <x v="7"/>
  </r>
  <r>
    <x v="0"/>
    <x v="8"/>
    <x v="8"/>
    <x v="7"/>
    <x v="7"/>
    <x v="7"/>
    <x v="4"/>
    <x v="139"/>
    <x v="137"/>
    <x v="115"/>
    <x v="141"/>
    <x v="60"/>
    <x v="133"/>
    <x v="1"/>
  </r>
  <r>
    <x v="0"/>
    <x v="8"/>
    <x v="8"/>
    <x v="9"/>
    <x v="9"/>
    <x v="9"/>
    <x v="5"/>
    <x v="140"/>
    <x v="138"/>
    <x v="76"/>
    <x v="142"/>
    <x v="134"/>
    <x v="134"/>
    <x v="7"/>
  </r>
  <r>
    <x v="0"/>
    <x v="8"/>
    <x v="8"/>
    <x v="6"/>
    <x v="6"/>
    <x v="6"/>
    <x v="6"/>
    <x v="48"/>
    <x v="139"/>
    <x v="121"/>
    <x v="143"/>
    <x v="56"/>
    <x v="33"/>
    <x v="7"/>
  </r>
  <r>
    <x v="0"/>
    <x v="8"/>
    <x v="8"/>
    <x v="11"/>
    <x v="11"/>
    <x v="11"/>
    <x v="7"/>
    <x v="66"/>
    <x v="9"/>
    <x v="122"/>
    <x v="144"/>
    <x v="72"/>
    <x v="135"/>
    <x v="7"/>
  </r>
  <r>
    <x v="0"/>
    <x v="8"/>
    <x v="8"/>
    <x v="4"/>
    <x v="4"/>
    <x v="4"/>
    <x v="8"/>
    <x v="105"/>
    <x v="140"/>
    <x v="48"/>
    <x v="145"/>
    <x v="83"/>
    <x v="136"/>
    <x v="7"/>
  </r>
  <r>
    <x v="0"/>
    <x v="8"/>
    <x v="8"/>
    <x v="13"/>
    <x v="13"/>
    <x v="13"/>
    <x v="9"/>
    <x v="87"/>
    <x v="46"/>
    <x v="89"/>
    <x v="146"/>
    <x v="74"/>
    <x v="137"/>
    <x v="7"/>
  </r>
  <r>
    <x v="0"/>
    <x v="8"/>
    <x v="8"/>
    <x v="19"/>
    <x v="19"/>
    <x v="19"/>
    <x v="10"/>
    <x v="141"/>
    <x v="141"/>
    <x v="51"/>
    <x v="147"/>
    <x v="135"/>
    <x v="138"/>
    <x v="7"/>
  </r>
  <r>
    <x v="0"/>
    <x v="8"/>
    <x v="8"/>
    <x v="14"/>
    <x v="14"/>
    <x v="14"/>
    <x v="11"/>
    <x v="142"/>
    <x v="126"/>
    <x v="48"/>
    <x v="145"/>
    <x v="86"/>
    <x v="131"/>
    <x v="7"/>
  </r>
  <r>
    <x v="0"/>
    <x v="8"/>
    <x v="8"/>
    <x v="5"/>
    <x v="5"/>
    <x v="5"/>
    <x v="12"/>
    <x v="143"/>
    <x v="142"/>
    <x v="84"/>
    <x v="148"/>
    <x v="92"/>
    <x v="20"/>
    <x v="7"/>
  </r>
  <r>
    <x v="0"/>
    <x v="8"/>
    <x v="8"/>
    <x v="8"/>
    <x v="8"/>
    <x v="8"/>
    <x v="13"/>
    <x v="144"/>
    <x v="143"/>
    <x v="48"/>
    <x v="145"/>
    <x v="62"/>
    <x v="139"/>
    <x v="7"/>
  </r>
  <r>
    <x v="0"/>
    <x v="8"/>
    <x v="8"/>
    <x v="17"/>
    <x v="17"/>
    <x v="17"/>
    <x v="14"/>
    <x v="89"/>
    <x v="128"/>
    <x v="123"/>
    <x v="97"/>
    <x v="76"/>
    <x v="1"/>
    <x v="7"/>
  </r>
  <r>
    <x v="0"/>
    <x v="8"/>
    <x v="8"/>
    <x v="12"/>
    <x v="12"/>
    <x v="12"/>
    <x v="15"/>
    <x v="90"/>
    <x v="144"/>
    <x v="124"/>
    <x v="149"/>
    <x v="136"/>
    <x v="140"/>
    <x v="7"/>
  </r>
  <r>
    <x v="0"/>
    <x v="8"/>
    <x v="8"/>
    <x v="23"/>
    <x v="23"/>
    <x v="23"/>
    <x v="16"/>
    <x v="145"/>
    <x v="145"/>
    <x v="90"/>
    <x v="80"/>
    <x v="137"/>
    <x v="141"/>
    <x v="7"/>
  </r>
  <r>
    <x v="0"/>
    <x v="8"/>
    <x v="8"/>
    <x v="10"/>
    <x v="10"/>
    <x v="10"/>
    <x v="17"/>
    <x v="74"/>
    <x v="146"/>
    <x v="69"/>
    <x v="150"/>
    <x v="81"/>
    <x v="142"/>
    <x v="7"/>
  </r>
  <r>
    <x v="0"/>
    <x v="8"/>
    <x v="8"/>
    <x v="18"/>
    <x v="18"/>
    <x v="18"/>
    <x v="18"/>
    <x v="146"/>
    <x v="147"/>
    <x v="57"/>
    <x v="151"/>
    <x v="136"/>
    <x v="140"/>
    <x v="7"/>
  </r>
  <r>
    <x v="0"/>
    <x v="8"/>
    <x v="8"/>
    <x v="21"/>
    <x v="21"/>
    <x v="21"/>
    <x v="19"/>
    <x v="147"/>
    <x v="148"/>
    <x v="51"/>
    <x v="147"/>
    <x v="138"/>
    <x v="143"/>
    <x v="7"/>
  </r>
  <r>
    <x v="0"/>
    <x v="9"/>
    <x v="9"/>
    <x v="2"/>
    <x v="2"/>
    <x v="2"/>
    <x v="0"/>
    <x v="148"/>
    <x v="149"/>
    <x v="125"/>
    <x v="152"/>
    <x v="139"/>
    <x v="144"/>
    <x v="7"/>
  </r>
  <r>
    <x v="0"/>
    <x v="9"/>
    <x v="9"/>
    <x v="0"/>
    <x v="0"/>
    <x v="0"/>
    <x v="1"/>
    <x v="149"/>
    <x v="150"/>
    <x v="126"/>
    <x v="153"/>
    <x v="73"/>
    <x v="145"/>
    <x v="7"/>
  </r>
  <r>
    <x v="0"/>
    <x v="9"/>
    <x v="9"/>
    <x v="1"/>
    <x v="1"/>
    <x v="1"/>
    <x v="2"/>
    <x v="150"/>
    <x v="151"/>
    <x v="127"/>
    <x v="154"/>
    <x v="55"/>
    <x v="46"/>
    <x v="7"/>
  </r>
  <r>
    <x v="0"/>
    <x v="9"/>
    <x v="9"/>
    <x v="6"/>
    <x v="6"/>
    <x v="6"/>
    <x v="3"/>
    <x v="151"/>
    <x v="152"/>
    <x v="35"/>
    <x v="155"/>
    <x v="57"/>
    <x v="42"/>
    <x v="7"/>
  </r>
  <r>
    <x v="0"/>
    <x v="9"/>
    <x v="9"/>
    <x v="3"/>
    <x v="3"/>
    <x v="3"/>
    <x v="4"/>
    <x v="63"/>
    <x v="153"/>
    <x v="128"/>
    <x v="156"/>
    <x v="90"/>
    <x v="146"/>
    <x v="7"/>
  </r>
  <r>
    <x v="0"/>
    <x v="9"/>
    <x v="9"/>
    <x v="7"/>
    <x v="7"/>
    <x v="7"/>
    <x v="5"/>
    <x v="47"/>
    <x v="154"/>
    <x v="38"/>
    <x v="157"/>
    <x v="84"/>
    <x v="40"/>
    <x v="7"/>
  </r>
  <r>
    <x v="0"/>
    <x v="9"/>
    <x v="9"/>
    <x v="9"/>
    <x v="9"/>
    <x v="9"/>
    <x v="6"/>
    <x v="101"/>
    <x v="155"/>
    <x v="129"/>
    <x v="40"/>
    <x v="140"/>
    <x v="147"/>
    <x v="7"/>
  </r>
  <r>
    <x v="0"/>
    <x v="9"/>
    <x v="9"/>
    <x v="11"/>
    <x v="11"/>
    <x v="11"/>
    <x v="7"/>
    <x v="152"/>
    <x v="25"/>
    <x v="130"/>
    <x v="158"/>
    <x v="68"/>
    <x v="148"/>
    <x v="7"/>
  </r>
  <r>
    <x v="0"/>
    <x v="9"/>
    <x v="9"/>
    <x v="4"/>
    <x v="4"/>
    <x v="4"/>
    <x v="8"/>
    <x v="153"/>
    <x v="77"/>
    <x v="131"/>
    <x v="116"/>
    <x v="141"/>
    <x v="149"/>
    <x v="7"/>
  </r>
  <r>
    <x v="0"/>
    <x v="9"/>
    <x v="9"/>
    <x v="8"/>
    <x v="8"/>
    <x v="8"/>
    <x v="9"/>
    <x v="69"/>
    <x v="44"/>
    <x v="131"/>
    <x v="116"/>
    <x v="60"/>
    <x v="150"/>
    <x v="7"/>
  </r>
  <r>
    <x v="0"/>
    <x v="9"/>
    <x v="9"/>
    <x v="5"/>
    <x v="5"/>
    <x v="5"/>
    <x v="10"/>
    <x v="56"/>
    <x v="62"/>
    <x v="70"/>
    <x v="39"/>
    <x v="86"/>
    <x v="43"/>
    <x v="7"/>
  </r>
  <r>
    <x v="0"/>
    <x v="9"/>
    <x v="9"/>
    <x v="14"/>
    <x v="14"/>
    <x v="14"/>
    <x v="11"/>
    <x v="58"/>
    <x v="156"/>
    <x v="57"/>
    <x v="159"/>
    <x v="57"/>
    <x v="42"/>
    <x v="7"/>
  </r>
  <r>
    <x v="0"/>
    <x v="9"/>
    <x v="9"/>
    <x v="19"/>
    <x v="19"/>
    <x v="19"/>
    <x v="11"/>
    <x v="58"/>
    <x v="156"/>
    <x v="84"/>
    <x v="160"/>
    <x v="72"/>
    <x v="97"/>
    <x v="7"/>
  </r>
  <r>
    <x v="0"/>
    <x v="9"/>
    <x v="9"/>
    <x v="17"/>
    <x v="17"/>
    <x v="17"/>
    <x v="13"/>
    <x v="154"/>
    <x v="101"/>
    <x v="64"/>
    <x v="37"/>
    <x v="72"/>
    <x v="97"/>
    <x v="7"/>
  </r>
  <r>
    <x v="0"/>
    <x v="9"/>
    <x v="9"/>
    <x v="18"/>
    <x v="18"/>
    <x v="18"/>
    <x v="14"/>
    <x v="155"/>
    <x v="157"/>
    <x v="67"/>
    <x v="134"/>
    <x v="72"/>
    <x v="97"/>
    <x v="7"/>
  </r>
  <r>
    <x v="0"/>
    <x v="9"/>
    <x v="9"/>
    <x v="21"/>
    <x v="21"/>
    <x v="21"/>
    <x v="14"/>
    <x v="155"/>
    <x v="157"/>
    <x v="51"/>
    <x v="161"/>
    <x v="142"/>
    <x v="12"/>
    <x v="7"/>
  </r>
  <r>
    <x v="0"/>
    <x v="9"/>
    <x v="9"/>
    <x v="13"/>
    <x v="13"/>
    <x v="13"/>
    <x v="16"/>
    <x v="156"/>
    <x v="52"/>
    <x v="105"/>
    <x v="162"/>
    <x v="95"/>
    <x v="28"/>
    <x v="7"/>
  </r>
  <r>
    <x v="0"/>
    <x v="9"/>
    <x v="9"/>
    <x v="22"/>
    <x v="22"/>
    <x v="22"/>
    <x v="17"/>
    <x v="157"/>
    <x v="81"/>
    <x v="117"/>
    <x v="135"/>
    <x v="87"/>
    <x v="151"/>
    <x v="7"/>
  </r>
  <r>
    <x v="0"/>
    <x v="9"/>
    <x v="9"/>
    <x v="12"/>
    <x v="12"/>
    <x v="12"/>
    <x v="18"/>
    <x v="147"/>
    <x v="84"/>
    <x v="107"/>
    <x v="163"/>
    <x v="66"/>
    <x v="152"/>
    <x v="7"/>
  </r>
  <r>
    <x v="0"/>
    <x v="9"/>
    <x v="9"/>
    <x v="20"/>
    <x v="20"/>
    <x v="20"/>
    <x v="18"/>
    <x v="147"/>
    <x v="84"/>
    <x v="54"/>
    <x v="69"/>
    <x v="45"/>
    <x v="153"/>
    <x v="7"/>
  </r>
  <r>
    <x v="0"/>
    <x v="10"/>
    <x v="10"/>
    <x v="0"/>
    <x v="0"/>
    <x v="0"/>
    <x v="0"/>
    <x v="158"/>
    <x v="158"/>
    <x v="132"/>
    <x v="164"/>
    <x v="143"/>
    <x v="154"/>
    <x v="7"/>
  </r>
  <r>
    <x v="0"/>
    <x v="10"/>
    <x v="10"/>
    <x v="2"/>
    <x v="2"/>
    <x v="2"/>
    <x v="1"/>
    <x v="159"/>
    <x v="159"/>
    <x v="91"/>
    <x v="165"/>
    <x v="126"/>
    <x v="155"/>
    <x v="7"/>
  </r>
  <r>
    <x v="0"/>
    <x v="10"/>
    <x v="10"/>
    <x v="1"/>
    <x v="1"/>
    <x v="1"/>
    <x v="2"/>
    <x v="160"/>
    <x v="160"/>
    <x v="133"/>
    <x v="166"/>
    <x v="137"/>
    <x v="14"/>
    <x v="7"/>
  </r>
  <r>
    <x v="0"/>
    <x v="10"/>
    <x v="10"/>
    <x v="3"/>
    <x v="3"/>
    <x v="3"/>
    <x v="3"/>
    <x v="105"/>
    <x v="161"/>
    <x v="134"/>
    <x v="63"/>
    <x v="87"/>
    <x v="139"/>
    <x v="7"/>
  </r>
  <r>
    <x v="0"/>
    <x v="10"/>
    <x v="10"/>
    <x v="7"/>
    <x v="7"/>
    <x v="7"/>
    <x v="4"/>
    <x v="53"/>
    <x v="162"/>
    <x v="135"/>
    <x v="6"/>
    <x v="144"/>
    <x v="156"/>
    <x v="7"/>
  </r>
  <r>
    <x v="0"/>
    <x v="10"/>
    <x v="10"/>
    <x v="14"/>
    <x v="14"/>
    <x v="14"/>
    <x v="5"/>
    <x v="153"/>
    <x v="163"/>
    <x v="67"/>
    <x v="167"/>
    <x v="115"/>
    <x v="157"/>
    <x v="7"/>
  </r>
  <r>
    <x v="0"/>
    <x v="10"/>
    <x v="10"/>
    <x v="24"/>
    <x v="24"/>
    <x v="24"/>
    <x v="6"/>
    <x v="90"/>
    <x v="164"/>
    <x v="54"/>
    <x v="48"/>
    <x v="70"/>
    <x v="116"/>
    <x v="7"/>
  </r>
  <r>
    <x v="0"/>
    <x v="10"/>
    <x v="10"/>
    <x v="11"/>
    <x v="11"/>
    <x v="11"/>
    <x v="7"/>
    <x v="161"/>
    <x v="165"/>
    <x v="104"/>
    <x v="168"/>
    <x v="145"/>
    <x v="158"/>
    <x v="7"/>
  </r>
  <r>
    <x v="0"/>
    <x v="10"/>
    <x v="10"/>
    <x v="5"/>
    <x v="5"/>
    <x v="5"/>
    <x v="8"/>
    <x v="162"/>
    <x v="10"/>
    <x v="131"/>
    <x v="169"/>
    <x v="84"/>
    <x v="159"/>
    <x v="7"/>
  </r>
  <r>
    <x v="0"/>
    <x v="10"/>
    <x v="10"/>
    <x v="8"/>
    <x v="8"/>
    <x v="8"/>
    <x v="9"/>
    <x v="163"/>
    <x v="166"/>
    <x v="54"/>
    <x v="48"/>
    <x v="80"/>
    <x v="160"/>
    <x v="7"/>
  </r>
  <r>
    <x v="0"/>
    <x v="10"/>
    <x v="10"/>
    <x v="9"/>
    <x v="9"/>
    <x v="9"/>
    <x v="9"/>
    <x v="163"/>
    <x v="166"/>
    <x v="136"/>
    <x v="170"/>
    <x v="146"/>
    <x v="161"/>
    <x v="7"/>
  </r>
  <r>
    <x v="0"/>
    <x v="10"/>
    <x v="10"/>
    <x v="4"/>
    <x v="4"/>
    <x v="4"/>
    <x v="11"/>
    <x v="164"/>
    <x v="94"/>
    <x v="67"/>
    <x v="167"/>
    <x v="80"/>
    <x v="160"/>
    <x v="7"/>
  </r>
  <r>
    <x v="0"/>
    <x v="10"/>
    <x v="10"/>
    <x v="18"/>
    <x v="18"/>
    <x v="18"/>
    <x v="12"/>
    <x v="73"/>
    <x v="167"/>
    <x v="53"/>
    <x v="128"/>
    <x v="56"/>
    <x v="162"/>
    <x v="7"/>
  </r>
  <r>
    <x v="0"/>
    <x v="10"/>
    <x v="10"/>
    <x v="6"/>
    <x v="6"/>
    <x v="6"/>
    <x v="13"/>
    <x v="165"/>
    <x v="79"/>
    <x v="106"/>
    <x v="171"/>
    <x v="140"/>
    <x v="163"/>
    <x v="7"/>
  </r>
  <r>
    <x v="0"/>
    <x v="10"/>
    <x v="10"/>
    <x v="16"/>
    <x v="16"/>
    <x v="16"/>
    <x v="14"/>
    <x v="166"/>
    <x v="142"/>
    <x v="67"/>
    <x v="167"/>
    <x v="71"/>
    <x v="86"/>
    <x v="7"/>
  </r>
  <r>
    <x v="0"/>
    <x v="10"/>
    <x v="10"/>
    <x v="17"/>
    <x v="17"/>
    <x v="17"/>
    <x v="14"/>
    <x v="166"/>
    <x v="142"/>
    <x v="67"/>
    <x v="167"/>
    <x v="71"/>
    <x v="86"/>
    <x v="7"/>
  </r>
  <r>
    <x v="0"/>
    <x v="10"/>
    <x v="10"/>
    <x v="12"/>
    <x v="12"/>
    <x v="12"/>
    <x v="16"/>
    <x v="167"/>
    <x v="49"/>
    <x v="123"/>
    <x v="163"/>
    <x v="147"/>
    <x v="12"/>
    <x v="7"/>
  </r>
  <r>
    <x v="0"/>
    <x v="10"/>
    <x v="10"/>
    <x v="13"/>
    <x v="13"/>
    <x v="13"/>
    <x v="17"/>
    <x v="168"/>
    <x v="168"/>
    <x v="48"/>
    <x v="172"/>
    <x v="148"/>
    <x v="17"/>
    <x v="7"/>
  </r>
  <r>
    <x v="0"/>
    <x v="10"/>
    <x v="10"/>
    <x v="15"/>
    <x v="15"/>
    <x v="15"/>
    <x v="18"/>
    <x v="146"/>
    <x v="51"/>
    <x v="131"/>
    <x v="169"/>
    <x v="149"/>
    <x v="71"/>
    <x v="7"/>
  </r>
  <r>
    <x v="0"/>
    <x v="10"/>
    <x v="10"/>
    <x v="22"/>
    <x v="22"/>
    <x v="22"/>
    <x v="19"/>
    <x v="147"/>
    <x v="169"/>
    <x v="117"/>
    <x v="135"/>
    <x v="150"/>
    <x v="164"/>
    <x v="7"/>
  </r>
  <r>
    <x v="0"/>
    <x v="11"/>
    <x v="11"/>
    <x v="0"/>
    <x v="0"/>
    <x v="0"/>
    <x v="0"/>
    <x v="169"/>
    <x v="170"/>
    <x v="137"/>
    <x v="173"/>
    <x v="97"/>
    <x v="82"/>
    <x v="7"/>
  </r>
  <r>
    <x v="0"/>
    <x v="11"/>
    <x v="11"/>
    <x v="1"/>
    <x v="1"/>
    <x v="1"/>
    <x v="1"/>
    <x v="170"/>
    <x v="171"/>
    <x v="14"/>
    <x v="174"/>
    <x v="70"/>
    <x v="141"/>
    <x v="7"/>
  </r>
  <r>
    <x v="0"/>
    <x v="11"/>
    <x v="11"/>
    <x v="2"/>
    <x v="2"/>
    <x v="2"/>
    <x v="2"/>
    <x v="171"/>
    <x v="73"/>
    <x v="70"/>
    <x v="19"/>
    <x v="151"/>
    <x v="165"/>
    <x v="7"/>
  </r>
  <r>
    <x v="0"/>
    <x v="11"/>
    <x v="11"/>
    <x v="5"/>
    <x v="5"/>
    <x v="5"/>
    <x v="3"/>
    <x v="172"/>
    <x v="172"/>
    <x v="104"/>
    <x v="101"/>
    <x v="152"/>
    <x v="166"/>
    <x v="7"/>
  </r>
  <r>
    <x v="0"/>
    <x v="11"/>
    <x v="11"/>
    <x v="8"/>
    <x v="8"/>
    <x v="8"/>
    <x v="4"/>
    <x v="173"/>
    <x v="173"/>
    <x v="138"/>
    <x v="175"/>
    <x v="153"/>
    <x v="167"/>
    <x v="7"/>
  </r>
  <r>
    <x v="0"/>
    <x v="11"/>
    <x v="11"/>
    <x v="3"/>
    <x v="3"/>
    <x v="3"/>
    <x v="5"/>
    <x v="174"/>
    <x v="174"/>
    <x v="86"/>
    <x v="176"/>
    <x v="41"/>
    <x v="168"/>
    <x v="7"/>
  </r>
  <r>
    <x v="0"/>
    <x v="11"/>
    <x v="11"/>
    <x v="15"/>
    <x v="15"/>
    <x v="15"/>
    <x v="6"/>
    <x v="175"/>
    <x v="175"/>
    <x v="139"/>
    <x v="177"/>
    <x v="154"/>
    <x v="169"/>
    <x v="7"/>
  </r>
  <r>
    <x v="0"/>
    <x v="11"/>
    <x v="11"/>
    <x v="4"/>
    <x v="4"/>
    <x v="4"/>
    <x v="7"/>
    <x v="176"/>
    <x v="176"/>
    <x v="51"/>
    <x v="178"/>
    <x v="155"/>
    <x v="170"/>
    <x v="7"/>
  </r>
  <r>
    <x v="0"/>
    <x v="11"/>
    <x v="11"/>
    <x v="10"/>
    <x v="10"/>
    <x v="10"/>
    <x v="8"/>
    <x v="177"/>
    <x v="177"/>
    <x v="140"/>
    <x v="179"/>
    <x v="156"/>
    <x v="171"/>
    <x v="7"/>
  </r>
  <r>
    <x v="0"/>
    <x v="11"/>
    <x v="11"/>
    <x v="16"/>
    <x v="16"/>
    <x v="16"/>
    <x v="9"/>
    <x v="178"/>
    <x v="178"/>
    <x v="141"/>
    <x v="93"/>
    <x v="157"/>
    <x v="172"/>
    <x v="7"/>
  </r>
  <r>
    <x v="0"/>
    <x v="11"/>
    <x v="11"/>
    <x v="9"/>
    <x v="9"/>
    <x v="9"/>
    <x v="10"/>
    <x v="179"/>
    <x v="179"/>
    <x v="142"/>
    <x v="142"/>
    <x v="138"/>
    <x v="89"/>
    <x v="7"/>
  </r>
  <r>
    <x v="0"/>
    <x v="11"/>
    <x v="11"/>
    <x v="6"/>
    <x v="6"/>
    <x v="6"/>
    <x v="11"/>
    <x v="180"/>
    <x v="94"/>
    <x v="143"/>
    <x v="180"/>
    <x v="143"/>
    <x v="173"/>
    <x v="7"/>
  </r>
  <r>
    <x v="0"/>
    <x v="11"/>
    <x v="11"/>
    <x v="14"/>
    <x v="14"/>
    <x v="14"/>
    <x v="12"/>
    <x v="84"/>
    <x v="180"/>
    <x v="56"/>
    <x v="181"/>
    <x v="63"/>
    <x v="174"/>
    <x v="7"/>
  </r>
  <r>
    <x v="0"/>
    <x v="11"/>
    <x v="11"/>
    <x v="11"/>
    <x v="11"/>
    <x v="11"/>
    <x v="13"/>
    <x v="181"/>
    <x v="181"/>
    <x v="144"/>
    <x v="182"/>
    <x v="149"/>
    <x v="175"/>
    <x v="7"/>
  </r>
  <r>
    <x v="0"/>
    <x v="11"/>
    <x v="11"/>
    <x v="18"/>
    <x v="18"/>
    <x v="18"/>
    <x v="14"/>
    <x v="50"/>
    <x v="182"/>
    <x v="51"/>
    <x v="178"/>
    <x v="41"/>
    <x v="168"/>
    <x v="7"/>
  </r>
  <r>
    <x v="0"/>
    <x v="11"/>
    <x v="11"/>
    <x v="7"/>
    <x v="7"/>
    <x v="7"/>
    <x v="15"/>
    <x v="182"/>
    <x v="183"/>
    <x v="128"/>
    <x v="183"/>
    <x v="158"/>
    <x v="176"/>
    <x v="7"/>
  </r>
  <r>
    <x v="0"/>
    <x v="11"/>
    <x v="11"/>
    <x v="17"/>
    <x v="17"/>
    <x v="17"/>
    <x v="16"/>
    <x v="105"/>
    <x v="100"/>
    <x v="123"/>
    <x v="34"/>
    <x v="159"/>
    <x v="177"/>
    <x v="7"/>
  </r>
  <r>
    <x v="0"/>
    <x v="11"/>
    <x v="11"/>
    <x v="27"/>
    <x v="27"/>
    <x v="27"/>
    <x v="17"/>
    <x v="52"/>
    <x v="51"/>
    <x v="145"/>
    <x v="184"/>
    <x v="72"/>
    <x v="178"/>
    <x v="7"/>
  </r>
  <r>
    <x v="0"/>
    <x v="11"/>
    <x v="11"/>
    <x v="28"/>
    <x v="28"/>
    <x v="28"/>
    <x v="18"/>
    <x v="183"/>
    <x v="184"/>
    <x v="141"/>
    <x v="93"/>
    <x v="84"/>
    <x v="98"/>
    <x v="7"/>
  </r>
  <r>
    <x v="0"/>
    <x v="11"/>
    <x v="11"/>
    <x v="21"/>
    <x v="21"/>
    <x v="21"/>
    <x v="19"/>
    <x v="88"/>
    <x v="53"/>
    <x v="90"/>
    <x v="51"/>
    <x v="76"/>
    <x v="179"/>
    <x v="7"/>
  </r>
  <r>
    <x v="0"/>
    <x v="12"/>
    <x v="12"/>
    <x v="0"/>
    <x v="0"/>
    <x v="0"/>
    <x v="0"/>
    <x v="184"/>
    <x v="185"/>
    <x v="146"/>
    <x v="185"/>
    <x v="97"/>
    <x v="83"/>
    <x v="7"/>
  </r>
  <r>
    <x v="0"/>
    <x v="12"/>
    <x v="12"/>
    <x v="1"/>
    <x v="1"/>
    <x v="1"/>
    <x v="1"/>
    <x v="185"/>
    <x v="186"/>
    <x v="147"/>
    <x v="186"/>
    <x v="71"/>
    <x v="70"/>
    <x v="7"/>
  </r>
  <r>
    <x v="0"/>
    <x v="12"/>
    <x v="12"/>
    <x v="8"/>
    <x v="8"/>
    <x v="8"/>
    <x v="2"/>
    <x v="81"/>
    <x v="187"/>
    <x v="92"/>
    <x v="187"/>
    <x v="160"/>
    <x v="180"/>
    <x v="7"/>
  </r>
  <r>
    <x v="0"/>
    <x v="12"/>
    <x v="12"/>
    <x v="15"/>
    <x v="15"/>
    <x v="15"/>
    <x v="2"/>
    <x v="81"/>
    <x v="187"/>
    <x v="148"/>
    <x v="103"/>
    <x v="161"/>
    <x v="181"/>
    <x v="7"/>
  </r>
  <r>
    <x v="0"/>
    <x v="12"/>
    <x v="12"/>
    <x v="2"/>
    <x v="2"/>
    <x v="2"/>
    <x v="4"/>
    <x v="186"/>
    <x v="188"/>
    <x v="131"/>
    <x v="72"/>
    <x v="42"/>
    <x v="182"/>
    <x v="1"/>
  </r>
  <r>
    <x v="0"/>
    <x v="12"/>
    <x v="12"/>
    <x v="5"/>
    <x v="5"/>
    <x v="5"/>
    <x v="5"/>
    <x v="116"/>
    <x v="189"/>
    <x v="148"/>
    <x v="103"/>
    <x v="162"/>
    <x v="183"/>
    <x v="7"/>
  </r>
  <r>
    <x v="0"/>
    <x v="12"/>
    <x v="12"/>
    <x v="3"/>
    <x v="3"/>
    <x v="3"/>
    <x v="6"/>
    <x v="64"/>
    <x v="190"/>
    <x v="149"/>
    <x v="188"/>
    <x v="85"/>
    <x v="184"/>
    <x v="7"/>
  </r>
  <r>
    <x v="0"/>
    <x v="12"/>
    <x v="12"/>
    <x v="4"/>
    <x v="4"/>
    <x v="4"/>
    <x v="7"/>
    <x v="187"/>
    <x v="191"/>
    <x v="131"/>
    <x v="72"/>
    <x v="163"/>
    <x v="88"/>
    <x v="7"/>
  </r>
  <r>
    <x v="0"/>
    <x v="12"/>
    <x v="12"/>
    <x v="16"/>
    <x v="16"/>
    <x v="16"/>
    <x v="8"/>
    <x v="103"/>
    <x v="192"/>
    <x v="107"/>
    <x v="189"/>
    <x v="159"/>
    <x v="185"/>
    <x v="7"/>
  </r>
  <r>
    <x v="0"/>
    <x v="12"/>
    <x v="12"/>
    <x v="12"/>
    <x v="12"/>
    <x v="12"/>
    <x v="9"/>
    <x v="104"/>
    <x v="112"/>
    <x v="92"/>
    <x v="187"/>
    <x v="85"/>
    <x v="184"/>
    <x v="7"/>
  </r>
  <r>
    <x v="0"/>
    <x v="12"/>
    <x v="12"/>
    <x v="18"/>
    <x v="18"/>
    <x v="18"/>
    <x v="10"/>
    <x v="86"/>
    <x v="10"/>
    <x v="64"/>
    <x v="190"/>
    <x v="61"/>
    <x v="186"/>
    <x v="7"/>
  </r>
  <r>
    <x v="0"/>
    <x v="12"/>
    <x v="12"/>
    <x v="10"/>
    <x v="10"/>
    <x v="10"/>
    <x v="11"/>
    <x v="87"/>
    <x v="193"/>
    <x v="138"/>
    <x v="191"/>
    <x v="82"/>
    <x v="187"/>
    <x v="7"/>
  </r>
  <r>
    <x v="0"/>
    <x v="12"/>
    <x v="12"/>
    <x v="9"/>
    <x v="9"/>
    <x v="9"/>
    <x v="11"/>
    <x v="87"/>
    <x v="193"/>
    <x v="150"/>
    <x v="192"/>
    <x v="164"/>
    <x v="188"/>
    <x v="7"/>
  </r>
  <r>
    <x v="0"/>
    <x v="12"/>
    <x v="12"/>
    <x v="6"/>
    <x v="6"/>
    <x v="6"/>
    <x v="13"/>
    <x v="70"/>
    <x v="114"/>
    <x v="139"/>
    <x v="193"/>
    <x v="81"/>
    <x v="189"/>
    <x v="7"/>
  </r>
  <r>
    <x v="0"/>
    <x v="12"/>
    <x v="12"/>
    <x v="11"/>
    <x v="11"/>
    <x v="11"/>
    <x v="14"/>
    <x v="142"/>
    <x v="142"/>
    <x v="75"/>
    <x v="11"/>
    <x v="145"/>
    <x v="125"/>
    <x v="7"/>
  </r>
  <r>
    <x v="0"/>
    <x v="12"/>
    <x v="12"/>
    <x v="14"/>
    <x v="14"/>
    <x v="14"/>
    <x v="15"/>
    <x v="188"/>
    <x v="157"/>
    <x v="64"/>
    <x v="190"/>
    <x v="97"/>
    <x v="83"/>
    <x v="7"/>
  </r>
  <r>
    <x v="0"/>
    <x v="12"/>
    <x v="12"/>
    <x v="21"/>
    <x v="21"/>
    <x v="21"/>
    <x v="15"/>
    <x v="188"/>
    <x v="157"/>
    <x v="81"/>
    <x v="194"/>
    <x v="158"/>
    <x v="190"/>
    <x v="7"/>
  </r>
  <r>
    <x v="0"/>
    <x v="12"/>
    <x v="12"/>
    <x v="29"/>
    <x v="29"/>
    <x v="29"/>
    <x v="17"/>
    <x v="74"/>
    <x v="81"/>
    <x v="65"/>
    <x v="133"/>
    <x v="97"/>
    <x v="83"/>
    <x v="7"/>
  </r>
  <r>
    <x v="0"/>
    <x v="12"/>
    <x v="12"/>
    <x v="27"/>
    <x v="27"/>
    <x v="27"/>
    <x v="17"/>
    <x v="74"/>
    <x v="81"/>
    <x v="69"/>
    <x v="195"/>
    <x v="81"/>
    <x v="189"/>
    <x v="7"/>
  </r>
  <r>
    <x v="0"/>
    <x v="12"/>
    <x v="12"/>
    <x v="28"/>
    <x v="28"/>
    <x v="28"/>
    <x v="19"/>
    <x v="58"/>
    <x v="194"/>
    <x v="90"/>
    <x v="196"/>
    <x v="68"/>
    <x v="28"/>
    <x v="7"/>
  </r>
  <r>
    <x v="0"/>
    <x v="13"/>
    <x v="13"/>
    <x v="1"/>
    <x v="1"/>
    <x v="1"/>
    <x v="0"/>
    <x v="189"/>
    <x v="195"/>
    <x v="151"/>
    <x v="197"/>
    <x v="80"/>
    <x v="137"/>
    <x v="7"/>
  </r>
  <r>
    <x v="0"/>
    <x v="13"/>
    <x v="13"/>
    <x v="0"/>
    <x v="0"/>
    <x v="0"/>
    <x v="1"/>
    <x v="190"/>
    <x v="196"/>
    <x v="152"/>
    <x v="198"/>
    <x v="87"/>
    <x v="141"/>
    <x v="7"/>
  </r>
  <r>
    <x v="0"/>
    <x v="13"/>
    <x v="13"/>
    <x v="2"/>
    <x v="2"/>
    <x v="2"/>
    <x v="2"/>
    <x v="191"/>
    <x v="197"/>
    <x v="94"/>
    <x v="199"/>
    <x v="165"/>
    <x v="73"/>
    <x v="7"/>
  </r>
  <r>
    <x v="0"/>
    <x v="13"/>
    <x v="13"/>
    <x v="8"/>
    <x v="8"/>
    <x v="8"/>
    <x v="3"/>
    <x v="192"/>
    <x v="187"/>
    <x v="51"/>
    <x v="200"/>
    <x v="166"/>
    <x v="191"/>
    <x v="7"/>
  </r>
  <r>
    <x v="0"/>
    <x v="13"/>
    <x v="13"/>
    <x v="3"/>
    <x v="3"/>
    <x v="3"/>
    <x v="4"/>
    <x v="139"/>
    <x v="198"/>
    <x v="38"/>
    <x v="201"/>
    <x v="167"/>
    <x v="192"/>
    <x v="7"/>
  </r>
  <r>
    <x v="0"/>
    <x v="13"/>
    <x v="13"/>
    <x v="5"/>
    <x v="5"/>
    <x v="5"/>
    <x v="5"/>
    <x v="193"/>
    <x v="199"/>
    <x v="92"/>
    <x v="202"/>
    <x v="168"/>
    <x v="193"/>
    <x v="7"/>
  </r>
  <r>
    <x v="0"/>
    <x v="13"/>
    <x v="13"/>
    <x v="16"/>
    <x v="16"/>
    <x v="16"/>
    <x v="6"/>
    <x v="194"/>
    <x v="200"/>
    <x v="107"/>
    <x v="203"/>
    <x v="169"/>
    <x v="194"/>
    <x v="7"/>
  </r>
  <r>
    <x v="0"/>
    <x v="13"/>
    <x v="13"/>
    <x v="15"/>
    <x v="15"/>
    <x v="15"/>
    <x v="7"/>
    <x v="195"/>
    <x v="201"/>
    <x v="124"/>
    <x v="204"/>
    <x v="170"/>
    <x v="195"/>
    <x v="7"/>
  </r>
  <r>
    <x v="0"/>
    <x v="13"/>
    <x v="13"/>
    <x v="9"/>
    <x v="9"/>
    <x v="9"/>
    <x v="8"/>
    <x v="119"/>
    <x v="202"/>
    <x v="76"/>
    <x v="205"/>
    <x v="171"/>
    <x v="196"/>
    <x v="7"/>
  </r>
  <r>
    <x v="0"/>
    <x v="13"/>
    <x v="13"/>
    <x v="4"/>
    <x v="4"/>
    <x v="4"/>
    <x v="9"/>
    <x v="85"/>
    <x v="203"/>
    <x v="131"/>
    <x v="206"/>
    <x v="101"/>
    <x v="197"/>
    <x v="7"/>
  </r>
  <r>
    <x v="0"/>
    <x v="13"/>
    <x v="13"/>
    <x v="11"/>
    <x v="11"/>
    <x v="11"/>
    <x v="10"/>
    <x v="86"/>
    <x v="62"/>
    <x v="153"/>
    <x v="207"/>
    <x v="148"/>
    <x v="198"/>
    <x v="7"/>
  </r>
  <r>
    <x v="0"/>
    <x v="13"/>
    <x v="13"/>
    <x v="18"/>
    <x v="18"/>
    <x v="18"/>
    <x v="11"/>
    <x v="69"/>
    <x v="204"/>
    <x v="131"/>
    <x v="206"/>
    <x v="60"/>
    <x v="131"/>
    <x v="7"/>
  </r>
  <r>
    <x v="0"/>
    <x v="13"/>
    <x v="13"/>
    <x v="10"/>
    <x v="10"/>
    <x v="10"/>
    <x v="12"/>
    <x v="196"/>
    <x v="183"/>
    <x v="154"/>
    <x v="208"/>
    <x v="73"/>
    <x v="199"/>
    <x v="7"/>
  </r>
  <r>
    <x v="0"/>
    <x v="13"/>
    <x v="13"/>
    <x v="6"/>
    <x v="6"/>
    <x v="6"/>
    <x v="13"/>
    <x v="197"/>
    <x v="205"/>
    <x v="149"/>
    <x v="96"/>
    <x v="66"/>
    <x v="175"/>
    <x v="7"/>
  </r>
  <r>
    <x v="0"/>
    <x v="13"/>
    <x v="13"/>
    <x v="30"/>
    <x v="30"/>
    <x v="30"/>
    <x v="14"/>
    <x v="198"/>
    <x v="206"/>
    <x v="67"/>
    <x v="136"/>
    <x v="135"/>
    <x v="110"/>
    <x v="7"/>
  </r>
  <r>
    <x v="0"/>
    <x v="13"/>
    <x v="13"/>
    <x v="14"/>
    <x v="14"/>
    <x v="14"/>
    <x v="14"/>
    <x v="198"/>
    <x v="206"/>
    <x v="48"/>
    <x v="17"/>
    <x v="76"/>
    <x v="93"/>
    <x v="7"/>
  </r>
  <r>
    <x v="0"/>
    <x v="13"/>
    <x v="13"/>
    <x v="7"/>
    <x v="7"/>
    <x v="7"/>
    <x v="16"/>
    <x v="163"/>
    <x v="51"/>
    <x v="114"/>
    <x v="209"/>
    <x v="172"/>
    <x v="200"/>
    <x v="1"/>
  </r>
  <r>
    <x v="0"/>
    <x v="13"/>
    <x v="13"/>
    <x v="13"/>
    <x v="13"/>
    <x v="13"/>
    <x v="17"/>
    <x v="199"/>
    <x v="116"/>
    <x v="92"/>
    <x v="202"/>
    <x v="68"/>
    <x v="52"/>
    <x v="7"/>
  </r>
  <r>
    <x v="0"/>
    <x v="13"/>
    <x v="13"/>
    <x v="21"/>
    <x v="21"/>
    <x v="21"/>
    <x v="18"/>
    <x v="74"/>
    <x v="207"/>
    <x v="94"/>
    <x v="199"/>
    <x v="68"/>
    <x v="52"/>
    <x v="7"/>
  </r>
  <r>
    <x v="0"/>
    <x v="13"/>
    <x v="13"/>
    <x v="28"/>
    <x v="28"/>
    <x v="28"/>
    <x v="19"/>
    <x v="58"/>
    <x v="82"/>
    <x v="123"/>
    <x v="72"/>
    <x v="150"/>
    <x v="11"/>
    <x v="7"/>
  </r>
  <r>
    <x v="0"/>
    <x v="13"/>
    <x v="13"/>
    <x v="12"/>
    <x v="12"/>
    <x v="12"/>
    <x v="19"/>
    <x v="58"/>
    <x v="82"/>
    <x v="138"/>
    <x v="77"/>
    <x v="172"/>
    <x v="200"/>
    <x v="7"/>
  </r>
  <r>
    <x v="0"/>
    <x v="14"/>
    <x v="14"/>
    <x v="0"/>
    <x v="0"/>
    <x v="0"/>
    <x v="0"/>
    <x v="200"/>
    <x v="208"/>
    <x v="155"/>
    <x v="210"/>
    <x v="145"/>
    <x v="142"/>
    <x v="7"/>
  </r>
  <r>
    <x v="0"/>
    <x v="14"/>
    <x v="14"/>
    <x v="1"/>
    <x v="1"/>
    <x v="1"/>
    <x v="1"/>
    <x v="201"/>
    <x v="209"/>
    <x v="156"/>
    <x v="211"/>
    <x v="88"/>
    <x v="201"/>
    <x v="7"/>
  </r>
  <r>
    <x v="0"/>
    <x v="14"/>
    <x v="14"/>
    <x v="2"/>
    <x v="2"/>
    <x v="2"/>
    <x v="2"/>
    <x v="202"/>
    <x v="210"/>
    <x v="141"/>
    <x v="212"/>
    <x v="173"/>
    <x v="202"/>
    <x v="7"/>
  </r>
  <r>
    <x v="0"/>
    <x v="14"/>
    <x v="14"/>
    <x v="5"/>
    <x v="5"/>
    <x v="5"/>
    <x v="3"/>
    <x v="133"/>
    <x v="211"/>
    <x v="138"/>
    <x v="213"/>
    <x v="174"/>
    <x v="203"/>
    <x v="7"/>
  </r>
  <r>
    <x v="0"/>
    <x v="14"/>
    <x v="14"/>
    <x v="8"/>
    <x v="8"/>
    <x v="8"/>
    <x v="4"/>
    <x v="175"/>
    <x v="212"/>
    <x v="107"/>
    <x v="214"/>
    <x v="102"/>
    <x v="204"/>
    <x v="7"/>
  </r>
  <r>
    <x v="0"/>
    <x v="14"/>
    <x v="14"/>
    <x v="4"/>
    <x v="4"/>
    <x v="4"/>
    <x v="5"/>
    <x v="177"/>
    <x v="213"/>
    <x v="74"/>
    <x v="215"/>
    <x v="175"/>
    <x v="205"/>
    <x v="7"/>
  </r>
  <r>
    <x v="0"/>
    <x v="14"/>
    <x v="14"/>
    <x v="6"/>
    <x v="6"/>
    <x v="6"/>
    <x v="6"/>
    <x v="116"/>
    <x v="214"/>
    <x v="35"/>
    <x v="216"/>
    <x v="56"/>
    <x v="126"/>
    <x v="7"/>
  </r>
  <r>
    <x v="0"/>
    <x v="14"/>
    <x v="14"/>
    <x v="3"/>
    <x v="3"/>
    <x v="3"/>
    <x v="7"/>
    <x v="203"/>
    <x v="215"/>
    <x v="139"/>
    <x v="217"/>
    <x v="54"/>
    <x v="184"/>
    <x v="1"/>
  </r>
  <r>
    <x v="0"/>
    <x v="14"/>
    <x v="14"/>
    <x v="10"/>
    <x v="10"/>
    <x v="10"/>
    <x v="8"/>
    <x v="204"/>
    <x v="216"/>
    <x v="96"/>
    <x v="218"/>
    <x v="65"/>
    <x v="79"/>
    <x v="7"/>
  </r>
  <r>
    <x v="0"/>
    <x v="14"/>
    <x v="14"/>
    <x v="7"/>
    <x v="7"/>
    <x v="7"/>
    <x v="9"/>
    <x v="101"/>
    <x v="217"/>
    <x v="49"/>
    <x v="219"/>
    <x v="143"/>
    <x v="112"/>
    <x v="7"/>
  </r>
  <r>
    <x v="0"/>
    <x v="14"/>
    <x v="14"/>
    <x v="9"/>
    <x v="9"/>
    <x v="9"/>
    <x v="10"/>
    <x v="205"/>
    <x v="218"/>
    <x v="113"/>
    <x v="220"/>
    <x v="176"/>
    <x v="104"/>
    <x v="7"/>
  </r>
  <r>
    <x v="0"/>
    <x v="14"/>
    <x v="14"/>
    <x v="14"/>
    <x v="14"/>
    <x v="14"/>
    <x v="11"/>
    <x v="90"/>
    <x v="115"/>
    <x v="53"/>
    <x v="52"/>
    <x v="100"/>
    <x v="206"/>
    <x v="7"/>
  </r>
  <r>
    <x v="0"/>
    <x v="14"/>
    <x v="14"/>
    <x v="15"/>
    <x v="15"/>
    <x v="15"/>
    <x v="12"/>
    <x v="57"/>
    <x v="98"/>
    <x v="56"/>
    <x v="221"/>
    <x v="56"/>
    <x v="126"/>
    <x v="7"/>
  </r>
  <r>
    <x v="0"/>
    <x v="14"/>
    <x v="14"/>
    <x v="13"/>
    <x v="13"/>
    <x v="13"/>
    <x v="13"/>
    <x v="198"/>
    <x v="206"/>
    <x v="55"/>
    <x v="13"/>
    <x v="87"/>
    <x v="207"/>
    <x v="7"/>
  </r>
  <r>
    <x v="0"/>
    <x v="14"/>
    <x v="14"/>
    <x v="17"/>
    <x v="17"/>
    <x v="17"/>
    <x v="14"/>
    <x v="162"/>
    <x v="101"/>
    <x v="52"/>
    <x v="17"/>
    <x v="177"/>
    <x v="208"/>
    <x v="7"/>
  </r>
  <r>
    <x v="0"/>
    <x v="14"/>
    <x v="14"/>
    <x v="27"/>
    <x v="27"/>
    <x v="27"/>
    <x v="15"/>
    <x v="188"/>
    <x v="184"/>
    <x v="83"/>
    <x v="222"/>
    <x v="148"/>
    <x v="209"/>
    <x v="7"/>
  </r>
  <r>
    <x v="0"/>
    <x v="14"/>
    <x v="14"/>
    <x v="22"/>
    <x v="22"/>
    <x v="22"/>
    <x v="16"/>
    <x v="58"/>
    <x v="194"/>
    <x v="117"/>
    <x v="135"/>
    <x v="97"/>
    <x v="148"/>
    <x v="7"/>
  </r>
  <r>
    <x v="0"/>
    <x v="14"/>
    <x v="14"/>
    <x v="19"/>
    <x v="19"/>
    <x v="19"/>
    <x v="17"/>
    <x v="165"/>
    <x v="219"/>
    <x v="64"/>
    <x v="84"/>
    <x v="87"/>
    <x v="207"/>
    <x v="7"/>
  </r>
  <r>
    <x v="0"/>
    <x v="14"/>
    <x v="14"/>
    <x v="21"/>
    <x v="21"/>
    <x v="21"/>
    <x v="17"/>
    <x v="165"/>
    <x v="219"/>
    <x v="70"/>
    <x v="223"/>
    <x v="136"/>
    <x v="69"/>
    <x v="7"/>
  </r>
  <r>
    <x v="0"/>
    <x v="14"/>
    <x v="14"/>
    <x v="16"/>
    <x v="16"/>
    <x v="16"/>
    <x v="19"/>
    <x v="156"/>
    <x v="220"/>
    <x v="54"/>
    <x v="224"/>
    <x v="73"/>
    <x v="210"/>
    <x v="7"/>
  </r>
  <r>
    <x v="0"/>
    <x v="15"/>
    <x v="15"/>
    <x v="1"/>
    <x v="1"/>
    <x v="1"/>
    <x v="0"/>
    <x v="206"/>
    <x v="221"/>
    <x v="60"/>
    <x v="225"/>
    <x v="83"/>
    <x v="211"/>
    <x v="7"/>
  </r>
  <r>
    <x v="0"/>
    <x v="15"/>
    <x v="15"/>
    <x v="0"/>
    <x v="0"/>
    <x v="0"/>
    <x v="1"/>
    <x v="207"/>
    <x v="222"/>
    <x v="157"/>
    <x v="226"/>
    <x v="143"/>
    <x v="179"/>
    <x v="7"/>
  </r>
  <r>
    <x v="0"/>
    <x v="15"/>
    <x v="15"/>
    <x v="6"/>
    <x v="6"/>
    <x v="6"/>
    <x v="2"/>
    <x v="185"/>
    <x v="223"/>
    <x v="158"/>
    <x v="227"/>
    <x v="49"/>
    <x v="177"/>
    <x v="1"/>
  </r>
  <r>
    <x v="0"/>
    <x v="15"/>
    <x v="15"/>
    <x v="2"/>
    <x v="2"/>
    <x v="2"/>
    <x v="3"/>
    <x v="202"/>
    <x v="224"/>
    <x v="138"/>
    <x v="228"/>
    <x v="125"/>
    <x v="212"/>
    <x v="7"/>
  </r>
  <r>
    <x v="0"/>
    <x v="15"/>
    <x v="15"/>
    <x v="8"/>
    <x v="8"/>
    <x v="8"/>
    <x v="4"/>
    <x v="132"/>
    <x v="225"/>
    <x v="56"/>
    <x v="229"/>
    <x v="127"/>
    <x v="213"/>
    <x v="7"/>
  </r>
  <r>
    <x v="0"/>
    <x v="15"/>
    <x v="15"/>
    <x v="4"/>
    <x v="4"/>
    <x v="4"/>
    <x v="5"/>
    <x v="208"/>
    <x v="226"/>
    <x v="83"/>
    <x v="187"/>
    <x v="178"/>
    <x v="214"/>
    <x v="7"/>
  </r>
  <r>
    <x v="0"/>
    <x v="15"/>
    <x v="15"/>
    <x v="5"/>
    <x v="5"/>
    <x v="5"/>
    <x v="6"/>
    <x v="209"/>
    <x v="227"/>
    <x v="159"/>
    <x v="83"/>
    <x v="93"/>
    <x v="215"/>
    <x v="1"/>
  </r>
  <r>
    <x v="0"/>
    <x v="15"/>
    <x v="15"/>
    <x v="3"/>
    <x v="3"/>
    <x v="3"/>
    <x v="7"/>
    <x v="186"/>
    <x v="200"/>
    <x v="160"/>
    <x v="230"/>
    <x v="101"/>
    <x v="185"/>
    <x v="7"/>
  </r>
  <r>
    <x v="0"/>
    <x v="15"/>
    <x v="15"/>
    <x v="9"/>
    <x v="9"/>
    <x v="9"/>
    <x v="8"/>
    <x v="151"/>
    <x v="228"/>
    <x v="161"/>
    <x v="231"/>
    <x v="171"/>
    <x v="216"/>
    <x v="7"/>
  </r>
  <r>
    <x v="0"/>
    <x v="15"/>
    <x v="15"/>
    <x v="7"/>
    <x v="7"/>
    <x v="7"/>
    <x v="9"/>
    <x v="117"/>
    <x v="229"/>
    <x v="91"/>
    <x v="232"/>
    <x v="177"/>
    <x v="190"/>
    <x v="7"/>
  </r>
  <r>
    <x v="0"/>
    <x v="15"/>
    <x v="15"/>
    <x v="15"/>
    <x v="15"/>
    <x v="15"/>
    <x v="10"/>
    <x v="47"/>
    <x v="230"/>
    <x v="89"/>
    <x v="233"/>
    <x v="179"/>
    <x v="217"/>
    <x v="7"/>
  </r>
  <r>
    <x v="0"/>
    <x v="15"/>
    <x v="15"/>
    <x v="16"/>
    <x v="16"/>
    <x v="16"/>
    <x v="11"/>
    <x v="48"/>
    <x v="109"/>
    <x v="82"/>
    <x v="234"/>
    <x v="180"/>
    <x v="218"/>
    <x v="7"/>
  </r>
  <r>
    <x v="0"/>
    <x v="15"/>
    <x v="15"/>
    <x v="10"/>
    <x v="10"/>
    <x v="10"/>
    <x v="12"/>
    <x v="210"/>
    <x v="231"/>
    <x v="139"/>
    <x v="235"/>
    <x v="48"/>
    <x v="16"/>
    <x v="7"/>
  </r>
  <r>
    <x v="0"/>
    <x v="15"/>
    <x v="15"/>
    <x v="12"/>
    <x v="12"/>
    <x v="12"/>
    <x v="13"/>
    <x v="104"/>
    <x v="232"/>
    <x v="69"/>
    <x v="236"/>
    <x v="181"/>
    <x v="219"/>
    <x v="7"/>
  </r>
  <r>
    <x v="0"/>
    <x v="15"/>
    <x v="15"/>
    <x v="13"/>
    <x v="13"/>
    <x v="13"/>
    <x v="14"/>
    <x v="211"/>
    <x v="233"/>
    <x v="162"/>
    <x v="237"/>
    <x v="158"/>
    <x v="34"/>
    <x v="7"/>
  </r>
  <r>
    <x v="0"/>
    <x v="15"/>
    <x v="15"/>
    <x v="21"/>
    <x v="21"/>
    <x v="21"/>
    <x v="15"/>
    <x v="153"/>
    <x v="115"/>
    <x v="55"/>
    <x v="238"/>
    <x v="62"/>
    <x v="220"/>
    <x v="7"/>
  </r>
  <r>
    <x v="0"/>
    <x v="15"/>
    <x v="15"/>
    <x v="19"/>
    <x v="19"/>
    <x v="19"/>
    <x v="16"/>
    <x v="143"/>
    <x v="234"/>
    <x v="123"/>
    <x v="239"/>
    <x v="48"/>
    <x v="16"/>
    <x v="7"/>
  </r>
  <r>
    <x v="0"/>
    <x v="15"/>
    <x v="15"/>
    <x v="14"/>
    <x v="14"/>
    <x v="14"/>
    <x v="17"/>
    <x v="90"/>
    <x v="235"/>
    <x v="53"/>
    <x v="115"/>
    <x v="100"/>
    <x v="221"/>
    <x v="7"/>
  </r>
  <r>
    <x v="0"/>
    <x v="15"/>
    <x v="15"/>
    <x v="11"/>
    <x v="11"/>
    <x v="11"/>
    <x v="17"/>
    <x v="90"/>
    <x v="235"/>
    <x v="141"/>
    <x v="184"/>
    <x v="148"/>
    <x v="222"/>
    <x v="7"/>
  </r>
  <r>
    <x v="0"/>
    <x v="15"/>
    <x v="15"/>
    <x v="30"/>
    <x v="30"/>
    <x v="30"/>
    <x v="19"/>
    <x v="188"/>
    <x v="236"/>
    <x v="64"/>
    <x v="35"/>
    <x v="97"/>
    <x v="223"/>
    <x v="7"/>
  </r>
  <r>
    <x v="0"/>
    <x v="16"/>
    <x v="16"/>
    <x v="2"/>
    <x v="2"/>
    <x v="2"/>
    <x v="0"/>
    <x v="212"/>
    <x v="237"/>
    <x v="141"/>
    <x v="240"/>
    <x v="182"/>
    <x v="224"/>
    <x v="4"/>
  </r>
  <r>
    <x v="0"/>
    <x v="16"/>
    <x v="16"/>
    <x v="1"/>
    <x v="1"/>
    <x v="1"/>
    <x v="1"/>
    <x v="213"/>
    <x v="238"/>
    <x v="163"/>
    <x v="241"/>
    <x v="114"/>
    <x v="225"/>
    <x v="7"/>
  </r>
  <r>
    <x v="0"/>
    <x v="16"/>
    <x v="16"/>
    <x v="0"/>
    <x v="0"/>
    <x v="0"/>
    <x v="2"/>
    <x v="77"/>
    <x v="239"/>
    <x v="164"/>
    <x v="242"/>
    <x v="177"/>
    <x v="226"/>
    <x v="7"/>
  </r>
  <r>
    <x v="0"/>
    <x v="16"/>
    <x v="16"/>
    <x v="6"/>
    <x v="6"/>
    <x v="6"/>
    <x v="3"/>
    <x v="96"/>
    <x v="240"/>
    <x v="165"/>
    <x v="243"/>
    <x v="141"/>
    <x v="227"/>
    <x v="1"/>
  </r>
  <r>
    <x v="0"/>
    <x v="16"/>
    <x v="16"/>
    <x v="7"/>
    <x v="7"/>
    <x v="7"/>
    <x v="4"/>
    <x v="214"/>
    <x v="136"/>
    <x v="35"/>
    <x v="244"/>
    <x v="183"/>
    <x v="228"/>
    <x v="7"/>
  </r>
  <r>
    <x v="0"/>
    <x v="16"/>
    <x v="16"/>
    <x v="3"/>
    <x v="3"/>
    <x v="3"/>
    <x v="5"/>
    <x v="215"/>
    <x v="241"/>
    <x v="166"/>
    <x v="245"/>
    <x v="184"/>
    <x v="229"/>
    <x v="7"/>
  </r>
  <r>
    <x v="0"/>
    <x v="16"/>
    <x v="16"/>
    <x v="9"/>
    <x v="9"/>
    <x v="9"/>
    <x v="6"/>
    <x v="216"/>
    <x v="242"/>
    <x v="167"/>
    <x v="246"/>
    <x v="138"/>
    <x v="230"/>
    <x v="7"/>
  </r>
  <r>
    <x v="0"/>
    <x v="16"/>
    <x v="16"/>
    <x v="4"/>
    <x v="4"/>
    <x v="4"/>
    <x v="7"/>
    <x v="151"/>
    <x v="43"/>
    <x v="84"/>
    <x v="247"/>
    <x v="43"/>
    <x v="231"/>
    <x v="7"/>
  </r>
  <r>
    <x v="0"/>
    <x v="16"/>
    <x v="16"/>
    <x v="5"/>
    <x v="5"/>
    <x v="5"/>
    <x v="8"/>
    <x v="180"/>
    <x v="139"/>
    <x v="56"/>
    <x v="248"/>
    <x v="185"/>
    <x v="232"/>
    <x v="7"/>
  </r>
  <r>
    <x v="0"/>
    <x v="16"/>
    <x v="16"/>
    <x v="14"/>
    <x v="14"/>
    <x v="14"/>
    <x v="8"/>
    <x v="180"/>
    <x v="139"/>
    <x v="53"/>
    <x v="35"/>
    <x v="186"/>
    <x v="233"/>
    <x v="7"/>
  </r>
  <r>
    <x v="0"/>
    <x v="16"/>
    <x v="16"/>
    <x v="13"/>
    <x v="13"/>
    <x v="13"/>
    <x v="10"/>
    <x v="68"/>
    <x v="243"/>
    <x v="82"/>
    <x v="249"/>
    <x v="49"/>
    <x v="234"/>
    <x v="7"/>
  </r>
  <r>
    <x v="0"/>
    <x v="16"/>
    <x v="16"/>
    <x v="19"/>
    <x v="19"/>
    <x v="19"/>
    <x v="11"/>
    <x v="53"/>
    <x v="113"/>
    <x v="52"/>
    <x v="250"/>
    <x v="159"/>
    <x v="235"/>
    <x v="7"/>
  </r>
  <r>
    <x v="0"/>
    <x v="16"/>
    <x v="16"/>
    <x v="8"/>
    <x v="8"/>
    <x v="8"/>
    <x v="12"/>
    <x v="183"/>
    <x v="182"/>
    <x v="53"/>
    <x v="35"/>
    <x v="79"/>
    <x v="236"/>
    <x v="7"/>
  </r>
  <r>
    <x v="0"/>
    <x v="16"/>
    <x v="16"/>
    <x v="17"/>
    <x v="17"/>
    <x v="17"/>
    <x v="13"/>
    <x v="71"/>
    <x v="34"/>
    <x v="57"/>
    <x v="251"/>
    <x v="60"/>
    <x v="237"/>
    <x v="7"/>
  </r>
  <r>
    <x v="0"/>
    <x v="16"/>
    <x v="16"/>
    <x v="12"/>
    <x v="12"/>
    <x v="12"/>
    <x v="14"/>
    <x v="198"/>
    <x v="14"/>
    <x v="106"/>
    <x v="100"/>
    <x v="68"/>
    <x v="238"/>
    <x v="7"/>
  </r>
  <r>
    <x v="0"/>
    <x v="16"/>
    <x v="16"/>
    <x v="20"/>
    <x v="20"/>
    <x v="20"/>
    <x v="15"/>
    <x v="163"/>
    <x v="244"/>
    <x v="54"/>
    <x v="85"/>
    <x v="80"/>
    <x v="58"/>
    <x v="7"/>
  </r>
  <r>
    <x v="0"/>
    <x v="16"/>
    <x v="16"/>
    <x v="11"/>
    <x v="11"/>
    <x v="11"/>
    <x v="16"/>
    <x v="72"/>
    <x v="245"/>
    <x v="104"/>
    <x v="177"/>
    <x v="95"/>
    <x v="239"/>
    <x v="7"/>
  </r>
  <r>
    <x v="0"/>
    <x v="16"/>
    <x v="16"/>
    <x v="10"/>
    <x v="10"/>
    <x v="10"/>
    <x v="16"/>
    <x v="72"/>
    <x v="245"/>
    <x v="92"/>
    <x v="8"/>
    <x v="137"/>
    <x v="52"/>
    <x v="7"/>
  </r>
  <r>
    <x v="0"/>
    <x v="16"/>
    <x v="16"/>
    <x v="18"/>
    <x v="18"/>
    <x v="18"/>
    <x v="18"/>
    <x v="217"/>
    <x v="246"/>
    <x v="54"/>
    <x v="85"/>
    <x v="74"/>
    <x v="83"/>
    <x v="7"/>
  </r>
  <r>
    <x v="0"/>
    <x v="16"/>
    <x v="16"/>
    <x v="21"/>
    <x v="21"/>
    <x v="21"/>
    <x v="19"/>
    <x v="73"/>
    <x v="247"/>
    <x v="123"/>
    <x v="147"/>
    <x v="137"/>
    <x v="52"/>
    <x v="7"/>
  </r>
  <r>
    <x v="0"/>
    <x v="17"/>
    <x v="17"/>
    <x v="2"/>
    <x v="2"/>
    <x v="2"/>
    <x v="0"/>
    <x v="218"/>
    <x v="248"/>
    <x v="55"/>
    <x v="236"/>
    <x v="187"/>
    <x v="240"/>
    <x v="7"/>
  </r>
  <r>
    <x v="0"/>
    <x v="17"/>
    <x v="17"/>
    <x v="1"/>
    <x v="1"/>
    <x v="1"/>
    <x v="1"/>
    <x v="219"/>
    <x v="249"/>
    <x v="168"/>
    <x v="252"/>
    <x v="135"/>
    <x v="241"/>
    <x v="7"/>
  </r>
  <r>
    <x v="0"/>
    <x v="17"/>
    <x v="17"/>
    <x v="0"/>
    <x v="0"/>
    <x v="0"/>
    <x v="2"/>
    <x v="220"/>
    <x v="250"/>
    <x v="169"/>
    <x v="253"/>
    <x v="72"/>
    <x v="71"/>
    <x v="7"/>
  </r>
  <r>
    <x v="0"/>
    <x v="17"/>
    <x v="17"/>
    <x v="5"/>
    <x v="5"/>
    <x v="5"/>
    <x v="3"/>
    <x v="216"/>
    <x v="251"/>
    <x v="56"/>
    <x v="238"/>
    <x v="188"/>
    <x v="242"/>
    <x v="7"/>
  </r>
  <r>
    <x v="0"/>
    <x v="17"/>
    <x v="17"/>
    <x v="4"/>
    <x v="4"/>
    <x v="4"/>
    <x v="4"/>
    <x v="221"/>
    <x v="252"/>
    <x v="51"/>
    <x v="76"/>
    <x v="189"/>
    <x v="243"/>
    <x v="7"/>
  </r>
  <r>
    <x v="0"/>
    <x v="17"/>
    <x v="17"/>
    <x v="7"/>
    <x v="7"/>
    <x v="7"/>
    <x v="5"/>
    <x v="222"/>
    <x v="241"/>
    <x v="170"/>
    <x v="254"/>
    <x v="141"/>
    <x v="244"/>
    <x v="7"/>
  </r>
  <r>
    <x v="0"/>
    <x v="17"/>
    <x v="17"/>
    <x v="8"/>
    <x v="8"/>
    <x v="8"/>
    <x v="6"/>
    <x v="116"/>
    <x v="253"/>
    <x v="94"/>
    <x v="86"/>
    <x v="96"/>
    <x v="245"/>
    <x v="7"/>
  </r>
  <r>
    <x v="0"/>
    <x v="17"/>
    <x v="17"/>
    <x v="6"/>
    <x v="6"/>
    <x v="6"/>
    <x v="7"/>
    <x v="63"/>
    <x v="254"/>
    <x v="115"/>
    <x v="255"/>
    <x v="57"/>
    <x v="246"/>
    <x v="7"/>
  </r>
  <r>
    <x v="0"/>
    <x v="17"/>
    <x v="17"/>
    <x v="3"/>
    <x v="3"/>
    <x v="3"/>
    <x v="8"/>
    <x v="180"/>
    <x v="255"/>
    <x v="99"/>
    <x v="256"/>
    <x v="141"/>
    <x v="244"/>
    <x v="7"/>
  </r>
  <r>
    <x v="0"/>
    <x v="17"/>
    <x v="17"/>
    <x v="9"/>
    <x v="9"/>
    <x v="9"/>
    <x v="9"/>
    <x v="140"/>
    <x v="256"/>
    <x v="133"/>
    <x v="257"/>
    <x v="190"/>
    <x v="247"/>
    <x v="7"/>
  </r>
  <r>
    <x v="0"/>
    <x v="17"/>
    <x v="17"/>
    <x v="10"/>
    <x v="10"/>
    <x v="10"/>
    <x v="10"/>
    <x v="51"/>
    <x v="257"/>
    <x v="134"/>
    <x v="258"/>
    <x v="100"/>
    <x v="234"/>
    <x v="7"/>
  </r>
  <r>
    <x v="0"/>
    <x v="17"/>
    <x v="17"/>
    <x v="14"/>
    <x v="14"/>
    <x v="14"/>
    <x v="11"/>
    <x v="211"/>
    <x v="46"/>
    <x v="70"/>
    <x v="259"/>
    <x v="85"/>
    <x v="185"/>
    <x v="7"/>
  </r>
  <r>
    <x v="0"/>
    <x v="17"/>
    <x v="17"/>
    <x v="13"/>
    <x v="13"/>
    <x v="13"/>
    <x v="12"/>
    <x v="54"/>
    <x v="258"/>
    <x v="159"/>
    <x v="260"/>
    <x v="74"/>
    <x v="248"/>
    <x v="7"/>
  </r>
  <r>
    <x v="0"/>
    <x v="17"/>
    <x v="17"/>
    <x v="11"/>
    <x v="11"/>
    <x v="11"/>
    <x v="13"/>
    <x v="56"/>
    <x v="259"/>
    <x v="162"/>
    <x v="261"/>
    <x v="45"/>
    <x v="249"/>
    <x v="1"/>
  </r>
  <r>
    <x v="0"/>
    <x v="17"/>
    <x v="17"/>
    <x v="19"/>
    <x v="19"/>
    <x v="19"/>
    <x v="14"/>
    <x v="161"/>
    <x v="99"/>
    <x v="52"/>
    <x v="121"/>
    <x v="76"/>
    <x v="250"/>
    <x v="7"/>
  </r>
  <r>
    <x v="0"/>
    <x v="17"/>
    <x v="17"/>
    <x v="22"/>
    <x v="22"/>
    <x v="22"/>
    <x v="14"/>
    <x v="161"/>
    <x v="99"/>
    <x v="117"/>
    <x v="135"/>
    <x v="70"/>
    <x v="0"/>
    <x v="7"/>
  </r>
  <r>
    <x v="0"/>
    <x v="17"/>
    <x v="17"/>
    <x v="17"/>
    <x v="17"/>
    <x v="17"/>
    <x v="16"/>
    <x v="145"/>
    <x v="245"/>
    <x v="48"/>
    <x v="262"/>
    <x v="143"/>
    <x v="251"/>
    <x v="7"/>
  </r>
  <r>
    <x v="0"/>
    <x v="17"/>
    <x v="17"/>
    <x v="18"/>
    <x v="18"/>
    <x v="18"/>
    <x v="17"/>
    <x v="199"/>
    <x v="17"/>
    <x v="48"/>
    <x v="262"/>
    <x v="71"/>
    <x v="141"/>
    <x v="7"/>
  </r>
  <r>
    <x v="0"/>
    <x v="17"/>
    <x v="17"/>
    <x v="21"/>
    <x v="21"/>
    <x v="21"/>
    <x v="18"/>
    <x v="154"/>
    <x v="260"/>
    <x v="131"/>
    <x v="26"/>
    <x v="98"/>
    <x v="95"/>
    <x v="7"/>
  </r>
  <r>
    <x v="0"/>
    <x v="17"/>
    <x v="17"/>
    <x v="16"/>
    <x v="16"/>
    <x v="16"/>
    <x v="19"/>
    <x v="223"/>
    <x v="261"/>
    <x v="53"/>
    <x v="263"/>
    <x v="73"/>
    <x v="252"/>
    <x v="7"/>
  </r>
  <r>
    <x v="0"/>
    <x v="18"/>
    <x v="18"/>
    <x v="0"/>
    <x v="0"/>
    <x v="0"/>
    <x v="0"/>
    <x v="224"/>
    <x v="262"/>
    <x v="171"/>
    <x v="264"/>
    <x v="110"/>
    <x v="109"/>
    <x v="7"/>
  </r>
  <r>
    <x v="0"/>
    <x v="18"/>
    <x v="18"/>
    <x v="1"/>
    <x v="1"/>
    <x v="1"/>
    <x v="1"/>
    <x v="225"/>
    <x v="263"/>
    <x v="172"/>
    <x v="265"/>
    <x v="130"/>
    <x v="221"/>
    <x v="7"/>
  </r>
  <r>
    <x v="0"/>
    <x v="18"/>
    <x v="18"/>
    <x v="2"/>
    <x v="2"/>
    <x v="2"/>
    <x v="2"/>
    <x v="226"/>
    <x v="264"/>
    <x v="173"/>
    <x v="89"/>
    <x v="191"/>
    <x v="253"/>
    <x v="7"/>
  </r>
  <r>
    <x v="0"/>
    <x v="18"/>
    <x v="18"/>
    <x v="4"/>
    <x v="4"/>
    <x v="4"/>
    <x v="3"/>
    <x v="227"/>
    <x v="265"/>
    <x v="174"/>
    <x v="266"/>
    <x v="27"/>
    <x v="254"/>
    <x v="7"/>
  </r>
  <r>
    <x v="0"/>
    <x v="18"/>
    <x v="18"/>
    <x v="3"/>
    <x v="3"/>
    <x v="3"/>
    <x v="4"/>
    <x v="228"/>
    <x v="266"/>
    <x v="175"/>
    <x v="267"/>
    <x v="192"/>
    <x v="255"/>
    <x v="7"/>
  </r>
  <r>
    <x v="0"/>
    <x v="18"/>
    <x v="18"/>
    <x v="5"/>
    <x v="5"/>
    <x v="5"/>
    <x v="5"/>
    <x v="229"/>
    <x v="43"/>
    <x v="176"/>
    <x v="268"/>
    <x v="193"/>
    <x v="256"/>
    <x v="1"/>
  </r>
  <r>
    <x v="0"/>
    <x v="18"/>
    <x v="18"/>
    <x v="6"/>
    <x v="6"/>
    <x v="6"/>
    <x v="6"/>
    <x v="230"/>
    <x v="267"/>
    <x v="177"/>
    <x v="269"/>
    <x v="168"/>
    <x v="164"/>
    <x v="7"/>
  </r>
  <r>
    <x v="0"/>
    <x v="18"/>
    <x v="18"/>
    <x v="10"/>
    <x v="10"/>
    <x v="10"/>
    <x v="7"/>
    <x v="231"/>
    <x v="216"/>
    <x v="178"/>
    <x v="270"/>
    <x v="194"/>
    <x v="257"/>
    <x v="7"/>
  </r>
  <r>
    <x v="0"/>
    <x v="18"/>
    <x v="18"/>
    <x v="11"/>
    <x v="11"/>
    <x v="11"/>
    <x v="8"/>
    <x v="207"/>
    <x v="268"/>
    <x v="179"/>
    <x v="271"/>
    <x v="130"/>
    <x v="221"/>
    <x v="7"/>
  </r>
  <r>
    <x v="0"/>
    <x v="18"/>
    <x v="18"/>
    <x v="8"/>
    <x v="8"/>
    <x v="8"/>
    <x v="9"/>
    <x v="232"/>
    <x v="217"/>
    <x v="135"/>
    <x v="272"/>
    <x v="195"/>
    <x v="38"/>
    <x v="7"/>
  </r>
  <r>
    <x v="0"/>
    <x v="18"/>
    <x v="18"/>
    <x v="9"/>
    <x v="9"/>
    <x v="9"/>
    <x v="10"/>
    <x v="110"/>
    <x v="269"/>
    <x v="180"/>
    <x v="24"/>
    <x v="73"/>
    <x v="258"/>
    <x v="7"/>
  </r>
  <r>
    <x v="0"/>
    <x v="18"/>
    <x v="18"/>
    <x v="7"/>
    <x v="7"/>
    <x v="7"/>
    <x v="11"/>
    <x v="233"/>
    <x v="270"/>
    <x v="181"/>
    <x v="273"/>
    <x v="196"/>
    <x v="246"/>
    <x v="7"/>
  </r>
  <r>
    <x v="0"/>
    <x v="18"/>
    <x v="18"/>
    <x v="12"/>
    <x v="12"/>
    <x v="12"/>
    <x v="12"/>
    <x v="234"/>
    <x v="113"/>
    <x v="182"/>
    <x v="274"/>
    <x v="197"/>
    <x v="259"/>
    <x v="7"/>
  </r>
  <r>
    <x v="0"/>
    <x v="18"/>
    <x v="18"/>
    <x v="13"/>
    <x v="13"/>
    <x v="13"/>
    <x v="13"/>
    <x v="96"/>
    <x v="126"/>
    <x v="103"/>
    <x v="275"/>
    <x v="112"/>
    <x v="10"/>
    <x v="7"/>
  </r>
  <r>
    <x v="0"/>
    <x v="18"/>
    <x v="18"/>
    <x v="19"/>
    <x v="19"/>
    <x v="19"/>
    <x v="14"/>
    <x v="235"/>
    <x v="271"/>
    <x v="145"/>
    <x v="172"/>
    <x v="198"/>
    <x v="158"/>
    <x v="7"/>
  </r>
  <r>
    <x v="0"/>
    <x v="18"/>
    <x v="18"/>
    <x v="14"/>
    <x v="14"/>
    <x v="14"/>
    <x v="15"/>
    <x v="180"/>
    <x v="81"/>
    <x v="92"/>
    <x v="52"/>
    <x v="132"/>
    <x v="260"/>
    <x v="7"/>
  </r>
  <r>
    <x v="0"/>
    <x v="18"/>
    <x v="18"/>
    <x v="15"/>
    <x v="15"/>
    <x v="15"/>
    <x v="16"/>
    <x v="50"/>
    <x v="84"/>
    <x v="183"/>
    <x v="82"/>
    <x v="83"/>
    <x v="210"/>
    <x v="7"/>
  </r>
  <r>
    <x v="0"/>
    <x v="18"/>
    <x v="18"/>
    <x v="17"/>
    <x v="17"/>
    <x v="17"/>
    <x v="16"/>
    <x v="50"/>
    <x v="84"/>
    <x v="83"/>
    <x v="19"/>
    <x v="199"/>
    <x v="190"/>
    <x v="7"/>
  </r>
  <r>
    <x v="0"/>
    <x v="18"/>
    <x v="18"/>
    <x v="18"/>
    <x v="18"/>
    <x v="18"/>
    <x v="18"/>
    <x v="187"/>
    <x v="220"/>
    <x v="107"/>
    <x v="276"/>
    <x v="156"/>
    <x v="251"/>
    <x v="7"/>
  </r>
  <r>
    <x v="0"/>
    <x v="18"/>
    <x v="18"/>
    <x v="27"/>
    <x v="27"/>
    <x v="27"/>
    <x v="19"/>
    <x v="236"/>
    <x v="272"/>
    <x v="160"/>
    <x v="163"/>
    <x v="150"/>
    <x v="261"/>
    <x v="7"/>
  </r>
  <r>
    <x v="0"/>
    <x v="19"/>
    <x v="19"/>
    <x v="1"/>
    <x v="1"/>
    <x v="1"/>
    <x v="0"/>
    <x v="237"/>
    <x v="273"/>
    <x v="184"/>
    <x v="277"/>
    <x v="197"/>
    <x v="262"/>
    <x v="7"/>
  </r>
  <r>
    <x v="0"/>
    <x v="19"/>
    <x v="19"/>
    <x v="0"/>
    <x v="0"/>
    <x v="0"/>
    <x v="1"/>
    <x v="238"/>
    <x v="274"/>
    <x v="185"/>
    <x v="278"/>
    <x v="132"/>
    <x v="117"/>
    <x v="4"/>
  </r>
  <r>
    <x v="0"/>
    <x v="19"/>
    <x v="19"/>
    <x v="2"/>
    <x v="2"/>
    <x v="2"/>
    <x v="2"/>
    <x v="239"/>
    <x v="275"/>
    <x v="186"/>
    <x v="279"/>
    <x v="200"/>
    <x v="263"/>
    <x v="1"/>
  </r>
  <r>
    <x v="0"/>
    <x v="19"/>
    <x v="19"/>
    <x v="4"/>
    <x v="4"/>
    <x v="4"/>
    <x v="3"/>
    <x v="240"/>
    <x v="223"/>
    <x v="187"/>
    <x v="146"/>
    <x v="201"/>
    <x v="264"/>
    <x v="7"/>
  </r>
  <r>
    <x v="0"/>
    <x v="19"/>
    <x v="19"/>
    <x v="3"/>
    <x v="3"/>
    <x v="3"/>
    <x v="4"/>
    <x v="241"/>
    <x v="240"/>
    <x v="188"/>
    <x v="280"/>
    <x v="202"/>
    <x v="103"/>
    <x v="7"/>
  </r>
  <r>
    <x v="0"/>
    <x v="19"/>
    <x v="19"/>
    <x v="5"/>
    <x v="5"/>
    <x v="5"/>
    <x v="5"/>
    <x v="242"/>
    <x v="276"/>
    <x v="189"/>
    <x v="281"/>
    <x v="203"/>
    <x v="265"/>
    <x v="7"/>
  </r>
  <r>
    <x v="0"/>
    <x v="19"/>
    <x v="19"/>
    <x v="6"/>
    <x v="6"/>
    <x v="6"/>
    <x v="6"/>
    <x v="243"/>
    <x v="277"/>
    <x v="190"/>
    <x v="282"/>
    <x v="167"/>
    <x v="80"/>
    <x v="1"/>
  </r>
  <r>
    <x v="0"/>
    <x v="19"/>
    <x v="19"/>
    <x v="10"/>
    <x v="10"/>
    <x v="10"/>
    <x v="7"/>
    <x v="244"/>
    <x v="201"/>
    <x v="191"/>
    <x v="283"/>
    <x v="204"/>
    <x v="266"/>
    <x v="7"/>
  </r>
  <r>
    <x v="0"/>
    <x v="19"/>
    <x v="19"/>
    <x v="8"/>
    <x v="8"/>
    <x v="8"/>
    <x v="8"/>
    <x v="137"/>
    <x v="107"/>
    <x v="192"/>
    <x v="284"/>
    <x v="205"/>
    <x v="267"/>
    <x v="7"/>
  </r>
  <r>
    <x v="0"/>
    <x v="19"/>
    <x v="19"/>
    <x v="7"/>
    <x v="7"/>
    <x v="7"/>
    <x v="8"/>
    <x v="137"/>
    <x v="107"/>
    <x v="193"/>
    <x v="285"/>
    <x v="67"/>
    <x v="45"/>
    <x v="7"/>
  </r>
  <r>
    <x v="0"/>
    <x v="19"/>
    <x v="19"/>
    <x v="11"/>
    <x v="11"/>
    <x v="11"/>
    <x v="10"/>
    <x v="245"/>
    <x v="278"/>
    <x v="46"/>
    <x v="286"/>
    <x v="114"/>
    <x v="153"/>
    <x v="1"/>
  </r>
  <r>
    <x v="0"/>
    <x v="19"/>
    <x v="19"/>
    <x v="9"/>
    <x v="9"/>
    <x v="9"/>
    <x v="11"/>
    <x v="202"/>
    <x v="279"/>
    <x v="29"/>
    <x v="287"/>
    <x v="45"/>
    <x v="25"/>
    <x v="7"/>
  </r>
  <r>
    <x v="0"/>
    <x v="19"/>
    <x v="19"/>
    <x v="12"/>
    <x v="12"/>
    <x v="12"/>
    <x v="12"/>
    <x v="132"/>
    <x v="280"/>
    <x v="194"/>
    <x v="126"/>
    <x v="180"/>
    <x v="187"/>
    <x v="7"/>
  </r>
  <r>
    <x v="0"/>
    <x v="19"/>
    <x v="19"/>
    <x v="16"/>
    <x v="16"/>
    <x v="16"/>
    <x v="13"/>
    <x v="246"/>
    <x v="281"/>
    <x v="183"/>
    <x v="288"/>
    <x v="162"/>
    <x v="124"/>
    <x v="7"/>
  </r>
  <r>
    <x v="0"/>
    <x v="19"/>
    <x v="19"/>
    <x v="13"/>
    <x v="13"/>
    <x v="13"/>
    <x v="14"/>
    <x v="193"/>
    <x v="282"/>
    <x v="130"/>
    <x v="289"/>
    <x v="51"/>
    <x v="268"/>
    <x v="7"/>
  </r>
  <r>
    <x v="0"/>
    <x v="19"/>
    <x v="19"/>
    <x v="19"/>
    <x v="19"/>
    <x v="19"/>
    <x v="15"/>
    <x v="204"/>
    <x v="19"/>
    <x v="138"/>
    <x v="29"/>
    <x v="184"/>
    <x v="19"/>
    <x v="7"/>
  </r>
  <r>
    <x v="0"/>
    <x v="19"/>
    <x v="19"/>
    <x v="17"/>
    <x v="17"/>
    <x v="17"/>
    <x v="16"/>
    <x v="247"/>
    <x v="283"/>
    <x v="82"/>
    <x v="290"/>
    <x v="52"/>
    <x v="112"/>
    <x v="1"/>
  </r>
  <r>
    <x v="0"/>
    <x v="19"/>
    <x v="19"/>
    <x v="14"/>
    <x v="14"/>
    <x v="14"/>
    <x v="17"/>
    <x v="248"/>
    <x v="284"/>
    <x v="90"/>
    <x v="291"/>
    <x v="44"/>
    <x v="246"/>
    <x v="7"/>
  </r>
  <r>
    <x v="0"/>
    <x v="19"/>
    <x v="19"/>
    <x v="31"/>
    <x v="31"/>
    <x v="31"/>
    <x v="18"/>
    <x v="205"/>
    <x v="285"/>
    <x v="195"/>
    <x v="292"/>
    <x v="80"/>
    <x v="269"/>
    <x v="7"/>
  </r>
  <r>
    <x v="0"/>
    <x v="19"/>
    <x v="19"/>
    <x v="32"/>
    <x v="32"/>
    <x v="32"/>
    <x v="18"/>
    <x v="205"/>
    <x v="285"/>
    <x v="149"/>
    <x v="293"/>
    <x v="71"/>
    <x v="270"/>
    <x v="7"/>
  </r>
  <r>
    <x v="0"/>
    <x v="20"/>
    <x v="20"/>
    <x v="0"/>
    <x v="0"/>
    <x v="0"/>
    <x v="0"/>
    <x v="249"/>
    <x v="286"/>
    <x v="196"/>
    <x v="294"/>
    <x v="114"/>
    <x v="271"/>
    <x v="7"/>
  </r>
  <r>
    <x v="0"/>
    <x v="20"/>
    <x v="20"/>
    <x v="1"/>
    <x v="1"/>
    <x v="1"/>
    <x v="1"/>
    <x v="250"/>
    <x v="287"/>
    <x v="197"/>
    <x v="295"/>
    <x v="105"/>
    <x v="272"/>
    <x v="7"/>
  </r>
  <r>
    <x v="0"/>
    <x v="20"/>
    <x v="20"/>
    <x v="31"/>
    <x v="31"/>
    <x v="31"/>
    <x v="2"/>
    <x v="251"/>
    <x v="288"/>
    <x v="198"/>
    <x v="296"/>
    <x v="206"/>
    <x v="273"/>
    <x v="7"/>
  </r>
  <r>
    <x v="0"/>
    <x v="20"/>
    <x v="20"/>
    <x v="2"/>
    <x v="2"/>
    <x v="2"/>
    <x v="3"/>
    <x v="238"/>
    <x v="289"/>
    <x v="152"/>
    <x v="297"/>
    <x v="207"/>
    <x v="264"/>
    <x v="7"/>
  </r>
  <r>
    <x v="0"/>
    <x v="20"/>
    <x v="20"/>
    <x v="4"/>
    <x v="4"/>
    <x v="4"/>
    <x v="4"/>
    <x v="252"/>
    <x v="187"/>
    <x v="199"/>
    <x v="298"/>
    <x v="208"/>
    <x v="274"/>
    <x v="7"/>
  </r>
  <r>
    <x v="0"/>
    <x v="20"/>
    <x v="20"/>
    <x v="5"/>
    <x v="5"/>
    <x v="5"/>
    <x v="5"/>
    <x v="253"/>
    <x v="172"/>
    <x v="200"/>
    <x v="299"/>
    <x v="119"/>
    <x v="275"/>
    <x v="7"/>
  </r>
  <r>
    <x v="0"/>
    <x v="20"/>
    <x v="20"/>
    <x v="6"/>
    <x v="6"/>
    <x v="6"/>
    <x v="6"/>
    <x v="254"/>
    <x v="290"/>
    <x v="201"/>
    <x v="300"/>
    <x v="209"/>
    <x v="210"/>
    <x v="4"/>
  </r>
  <r>
    <x v="0"/>
    <x v="20"/>
    <x v="20"/>
    <x v="3"/>
    <x v="3"/>
    <x v="3"/>
    <x v="7"/>
    <x v="255"/>
    <x v="4"/>
    <x v="202"/>
    <x v="301"/>
    <x v="210"/>
    <x v="120"/>
    <x v="7"/>
  </r>
  <r>
    <x v="0"/>
    <x v="20"/>
    <x v="20"/>
    <x v="8"/>
    <x v="8"/>
    <x v="8"/>
    <x v="8"/>
    <x v="256"/>
    <x v="291"/>
    <x v="203"/>
    <x v="302"/>
    <x v="211"/>
    <x v="276"/>
    <x v="7"/>
  </r>
  <r>
    <x v="0"/>
    <x v="20"/>
    <x v="20"/>
    <x v="9"/>
    <x v="9"/>
    <x v="9"/>
    <x v="9"/>
    <x v="257"/>
    <x v="228"/>
    <x v="204"/>
    <x v="303"/>
    <x v="45"/>
    <x v="277"/>
    <x v="7"/>
  </r>
  <r>
    <x v="0"/>
    <x v="20"/>
    <x v="20"/>
    <x v="10"/>
    <x v="10"/>
    <x v="10"/>
    <x v="10"/>
    <x v="109"/>
    <x v="179"/>
    <x v="205"/>
    <x v="304"/>
    <x v="155"/>
    <x v="171"/>
    <x v="7"/>
  </r>
  <r>
    <x v="0"/>
    <x v="20"/>
    <x v="20"/>
    <x v="7"/>
    <x v="7"/>
    <x v="7"/>
    <x v="11"/>
    <x v="258"/>
    <x v="292"/>
    <x v="188"/>
    <x v="305"/>
    <x v="47"/>
    <x v="17"/>
    <x v="1"/>
  </r>
  <r>
    <x v="0"/>
    <x v="20"/>
    <x v="20"/>
    <x v="11"/>
    <x v="11"/>
    <x v="11"/>
    <x v="12"/>
    <x v="259"/>
    <x v="32"/>
    <x v="206"/>
    <x v="5"/>
    <x v="167"/>
    <x v="176"/>
    <x v="1"/>
  </r>
  <r>
    <x v="0"/>
    <x v="20"/>
    <x v="20"/>
    <x v="22"/>
    <x v="22"/>
    <x v="22"/>
    <x v="13"/>
    <x v="176"/>
    <x v="116"/>
    <x v="57"/>
    <x v="306"/>
    <x v="212"/>
    <x v="257"/>
    <x v="7"/>
  </r>
  <r>
    <x v="0"/>
    <x v="20"/>
    <x v="20"/>
    <x v="13"/>
    <x v="13"/>
    <x v="13"/>
    <x v="14"/>
    <x v="177"/>
    <x v="17"/>
    <x v="144"/>
    <x v="101"/>
    <x v="54"/>
    <x v="278"/>
    <x v="7"/>
  </r>
  <r>
    <x v="0"/>
    <x v="20"/>
    <x v="20"/>
    <x v="12"/>
    <x v="12"/>
    <x v="12"/>
    <x v="15"/>
    <x v="178"/>
    <x v="246"/>
    <x v="143"/>
    <x v="289"/>
    <x v="159"/>
    <x v="279"/>
    <x v="7"/>
  </r>
  <r>
    <x v="0"/>
    <x v="20"/>
    <x v="20"/>
    <x v="19"/>
    <x v="19"/>
    <x v="19"/>
    <x v="16"/>
    <x v="160"/>
    <x v="283"/>
    <x v="66"/>
    <x v="307"/>
    <x v="63"/>
    <x v="148"/>
    <x v="7"/>
  </r>
  <r>
    <x v="0"/>
    <x v="20"/>
    <x v="20"/>
    <x v="16"/>
    <x v="16"/>
    <x v="16"/>
    <x v="17"/>
    <x v="83"/>
    <x v="293"/>
    <x v="159"/>
    <x v="247"/>
    <x v="179"/>
    <x v="71"/>
    <x v="7"/>
  </r>
  <r>
    <x v="0"/>
    <x v="20"/>
    <x v="20"/>
    <x v="14"/>
    <x v="14"/>
    <x v="14"/>
    <x v="17"/>
    <x v="83"/>
    <x v="293"/>
    <x v="69"/>
    <x v="276"/>
    <x v="113"/>
    <x v="251"/>
    <x v="7"/>
  </r>
  <r>
    <x v="0"/>
    <x v="20"/>
    <x v="20"/>
    <x v="27"/>
    <x v="27"/>
    <x v="27"/>
    <x v="19"/>
    <x v="84"/>
    <x v="294"/>
    <x v="144"/>
    <x v="101"/>
    <x v="136"/>
    <x v="280"/>
    <x v="7"/>
  </r>
  <r>
    <x v="0"/>
    <x v="21"/>
    <x v="21"/>
    <x v="32"/>
    <x v="32"/>
    <x v="32"/>
    <x v="0"/>
    <x v="242"/>
    <x v="295"/>
    <x v="207"/>
    <x v="308"/>
    <x v="213"/>
    <x v="281"/>
    <x v="7"/>
  </r>
  <r>
    <x v="0"/>
    <x v="21"/>
    <x v="21"/>
    <x v="1"/>
    <x v="1"/>
    <x v="1"/>
    <x v="1"/>
    <x v="260"/>
    <x v="296"/>
    <x v="208"/>
    <x v="309"/>
    <x v="144"/>
    <x v="282"/>
    <x v="7"/>
  </r>
  <r>
    <x v="0"/>
    <x v="21"/>
    <x v="21"/>
    <x v="0"/>
    <x v="0"/>
    <x v="0"/>
    <x v="2"/>
    <x v="261"/>
    <x v="297"/>
    <x v="179"/>
    <x v="310"/>
    <x v="214"/>
    <x v="178"/>
    <x v="7"/>
  </r>
  <r>
    <x v="0"/>
    <x v="21"/>
    <x v="21"/>
    <x v="3"/>
    <x v="3"/>
    <x v="3"/>
    <x v="3"/>
    <x v="262"/>
    <x v="266"/>
    <x v="129"/>
    <x v="141"/>
    <x v="92"/>
    <x v="283"/>
    <x v="7"/>
  </r>
  <r>
    <x v="0"/>
    <x v="21"/>
    <x v="21"/>
    <x v="4"/>
    <x v="4"/>
    <x v="4"/>
    <x v="4"/>
    <x v="263"/>
    <x v="298"/>
    <x v="106"/>
    <x v="311"/>
    <x v="215"/>
    <x v="284"/>
    <x v="7"/>
  </r>
  <r>
    <x v="0"/>
    <x v="21"/>
    <x v="21"/>
    <x v="2"/>
    <x v="2"/>
    <x v="2"/>
    <x v="5"/>
    <x v="264"/>
    <x v="24"/>
    <x v="97"/>
    <x v="312"/>
    <x v="101"/>
    <x v="285"/>
    <x v="7"/>
  </r>
  <r>
    <x v="0"/>
    <x v="21"/>
    <x v="21"/>
    <x v="5"/>
    <x v="5"/>
    <x v="5"/>
    <x v="6"/>
    <x v="204"/>
    <x v="299"/>
    <x v="114"/>
    <x v="313"/>
    <x v="167"/>
    <x v="286"/>
    <x v="7"/>
  </r>
  <r>
    <x v="0"/>
    <x v="21"/>
    <x v="21"/>
    <x v="17"/>
    <x v="17"/>
    <x v="17"/>
    <x v="7"/>
    <x v="67"/>
    <x v="300"/>
    <x v="106"/>
    <x v="311"/>
    <x v="69"/>
    <x v="287"/>
    <x v="7"/>
  </r>
  <r>
    <x v="0"/>
    <x v="21"/>
    <x v="21"/>
    <x v="6"/>
    <x v="6"/>
    <x v="6"/>
    <x v="8"/>
    <x v="265"/>
    <x v="301"/>
    <x v="149"/>
    <x v="314"/>
    <x v="138"/>
    <x v="173"/>
    <x v="1"/>
  </r>
  <r>
    <x v="0"/>
    <x v="21"/>
    <x v="21"/>
    <x v="8"/>
    <x v="8"/>
    <x v="8"/>
    <x v="9"/>
    <x v="152"/>
    <x v="257"/>
    <x v="83"/>
    <x v="215"/>
    <x v="141"/>
    <x v="288"/>
    <x v="7"/>
  </r>
  <r>
    <x v="0"/>
    <x v="21"/>
    <x v="21"/>
    <x v="11"/>
    <x v="11"/>
    <x v="11"/>
    <x v="10"/>
    <x v="266"/>
    <x v="302"/>
    <x v="160"/>
    <x v="315"/>
    <x v="81"/>
    <x v="98"/>
    <x v="7"/>
  </r>
  <r>
    <x v="0"/>
    <x v="21"/>
    <x v="21"/>
    <x v="10"/>
    <x v="10"/>
    <x v="10"/>
    <x v="11"/>
    <x v="267"/>
    <x v="279"/>
    <x v="104"/>
    <x v="316"/>
    <x v="97"/>
    <x v="289"/>
    <x v="7"/>
  </r>
  <r>
    <x v="0"/>
    <x v="21"/>
    <x v="21"/>
    <x v="9"/>
    <x v="9"/>
    <x v="9"/>
    <x v="12"/>
    <x v="71"/>
    <x v="181"/>
    <x v="160"/>
    <x v="315"/>
    <x v="164"/>
    <x v="290"/>
    <x v="7"/>
  </r>
  <r>
    <x v="0"/>
    <x v="21"/>
    <x v="21"/>
    <x v="13"/>
    <x v="13"/>
    <x v="13"/>
    <x v="13"/>
    <x v="163"/>
    <x v="128"/>
    <x v="148"/>
    <x v="317"/>
    <x v="136"/>
    <x v="45"/>
    <x v="7"/>
  </r>
  <r>
    <x v="0"/>
    <x v="21"/>
    <x v="21"/>
    <x v="15"/>
    <x v="15"/>
    <x v="15"/>
    <x v="14"/>
    <x v="58"/>
    <x v="303"/>
    <x v="105"/>
    <x v="284"/>
    <x v="134"/>
    <x v="96"/>
    <x v="7"/>
  </r>
  <r>
    <x v="0"/>
    <x v="21"/>
    <x v="21"/>
    <x v="18"/>
    <x v="18"/>
    <x v="18"/>
    <x v="15"/>
    <x v="165"/>
    <x v="15"/>
    <x v="81"/>
    <x v="29"/>
    <x v="98"/>
    <x v="105"/>
    <x v="7"/>
  </r>
  <r>
    <x v="0"/>
    <x v="21"/>
    <x v="21"/>
    <x v="7"/>
    <x v="7"/>
    <x v="7"/>
    <x v="16"/>
    <x v="166"/>
    <x v="235"/>
    <x v="159"/>
    <x v="318"/>
    <x v="171"/>
    <x v="291"/>
    <x v="7"/>
  </r>
  <r>
    <x v="0"/>
    <x v="21"/>
    <x v="21"/>
    <x v="12"/>
    <x v="12"/>
    <x v="12"/>
    <x v="17"/>
    <x v="167"/>
    <x v="68"/>
    <x v="55"/>
    <x v="319"/>
    <x v="190"/>
    <x v="292"/>
    <x v="1"/>
  </r>
  <r>
    <x v="0"/>
    <x v="21"/>
    <x v="21"/>
    <x v="20"/>
    <x v="20"/>
    <x v="20"/>
    <x v="18"/>
    <x v="146"/>
    <x v="304"/>
    <x v="57"/>
    <x v="320"/>
    <x v="68"/>
    <x v="94"/>
    <x v="1"/>
  </r>
  <r>
    <x v="0"/>
    <x v="21"/>
    <x v="21"/>
    <x v="16"/>
    <x v="16"/>
    <x v="16"/>
    <x v="19"/>
    <x v="147"/>
    <x v="285"/>
    <x v="131"/>
    <x v="206"/>
    <x v="107"/>
    <x v="293"/>
    <x v="7"/>
  </r>
  <r>
    <x v="0"/>
    <x v="21"/>
    <x v="21"/>
    <x v="33"/>
    <x v="33"/>
    <x v="33"/>
    <x v="19"/>
    <x v="147"/>
    <x v="285"/>
    <x v="123"/>
    <x v="72"/>
    <x v="95"/>
    <x v="294"/>
    <x v="7"/>
  </r>
  <r>
    <x v="0"/>
    <x v="22"/>
    <x v="22"/>
    <x v="0"/>
    <x v="0"/>
    <x v="0"/>
    <x v="0"/>
    <x v="268"/>
    <x v="305"/>
    <x v="209"/>
    <x v="253"/>
    <x v="56"/>
    <x v="295"/>
    <x v="7"/>
  </r>
  <r>
    <x v="0"/>
    <x v="22"/>
    <x v="22"/>
    <x v="1"/>
    <x v="1"/>
    <x v="1"/>
    <x v="1"/>
    <x v="269"/>
    <x v="306"/>
    <x v="210"/>
    <x v="321"/>
    <x v="87"/>
    <x v="296"/>
    <x v="7"/>
  </r>
  <r>
    <x v="0"/>
    <x v="22"/>
    <x v="22"/>
    <x v="2"/>
    <x v="2"/>
    <x v="2"/>
    <x v="2"/>
    <x v="115"/>
    <x v="307"/>
    <x v="195"/>
    <x v="322"/>
    <x v="215"/>
    <x v="297"/>
    <x v="7"/>
  </r>
  <r>
    <x v="0"/>
    <x v="22"/>
    <x v="22"/>
    <x v="3"/>
    <x v="3"/>
    <x v="3"/>
    <x v="3"/>
    <x v="215"/>
    <x v="308"/>
    <x v="86"/>
    <x v="9"/>
    <x v="111"/>
    <x v="298"/>
    <x v="7"/>
  </r>
  <r>
    <x v="0"/>
    <x v="22"/>
    <x v="22"/>
    <x v="4"/>
    <x v="4"/>
    <x v="4"/>
    <x v="4"/>
    <x v="262"/>
    <x v="309"/>
    <x v="138"/>
    <x v="323"/>
    <x v="131"/>
    <x v="299"/>
    <x v="7"/>
  </r>
  <r>
    <x v="0"/>
    <x v="22"/>
    <x v="22"/>
    <x v="6"/>
    <x v="6"/>
    <x v="6"/>
    <x v="5"/>
    <x v="100"/>
    <x v="310"/>
    <x v="72"/>
    <x v="324"/>
    <x v="144"/>
    <x v="300"/>
    <x v="7"/>
  </r>
  <r>
    <x v="0"/>
    <x v="22"/>
    <x v="22"/>
    <x v="8"/>
    <x v="8"/>
    <x v="8"/>
    <x v="6"/>
    <x v="270"/>
    <x v="5"/>
    <x v="106"/>
    <x v="325"/>
    <x v="46"/>
    <x v="301"/>
    <x v="7"/>
  </r>
  <r>
    <x v="0"/>
    <x v="22"/>
    <x v="22"/>
    <x v="7"/>
    <x v="7"/>
    <x v="7"/>
    <x v="7"/>
    <x v="247"/>
    <x v="311"/>
    <x v="211"/>
    <x v="326"/>
    <x v="95"/>
    <x v="302"/>
    <x v="7"/>
  </r>
  <r>
    <x v="0"/>
    <x v="22"/>
    <x v="22"/>
    <x v="9"/>
    <x v="9"/>
    <x v="9"/>
    <x v="8"/>
    <x v="66"/>
    <x v="312"/>
    <x v="143"/>
    <x v="170"/>
    <x v="176"/>
    <x v="303"/>
    <x v="7"/>
  </r>
  <r>
    <x v="0"/>
    <x v="22"/>
    <x v="22"/>
    <x v="11"/>
    <x v="11"/>
    <x v="11"/>
    <x v="9"/>
    <x v="266"/>
    <x v="313"/>
    <x v="99"/>
    <x v="327"/>
    <x v="107"/>
    <x v="304"/>
    <x v="7"/>
  </r>
  <r>
    <x v="0"/>
    <x v="22"/>
    <x v="22"/>
    <x v="10"/>
    <x v="10"/>
    <x v="10"/>
    <x v="9"/>
    <x v="266"/>
    <x v="313"/>
    <x v="62"/>
    <x v="179"/>
    <x v="136"/>
    <x v="137"/>
    <x v="7"/>
  </r>
  <r>
    <x v="0"/>
    <x v="22"/>
    <x v="22"/>
    <x v="5"/>
    <x v="5"/>
    <x v="5"/>
    <x v="11"/>
    <x v="183"/>
    <x v="110"/>
    <x v="148"/>
    <x v="163"/>
    <x v="100"/>
    <x v="101"/>
    <x v="7"/>
  </r>
  <r>
    <x v="0"/>
    <x v="22"/>
    <x v="22"/>
    <x v="12"/>
    <x v="12"/>
    <x v="12"/>
    <x v="12"/>
    <x v="91"/>
    <x v="64"/>
    <x v="183"/>
    <x v="298"/>
    <x v="81"/>
    <x v="252"/>
    <x v="7"/>
  </r>
  <r>
    <x v="0"/>
    <x v="22"/>
    <x v="22"/>
    <x v="15"/>
    <x v="15"/>
    <x v="15"/>
    <x v="13"/>
    <x v="145"/>
    <x v="66"/>
    <x v="70"/>
    <x v="99"/>
    <x v="87"/>
    <x v="296"/>
    <x v="7"/>
  </r>
  <r>
    <x v="0"/>
    <x v="22"/>
    <x v="22"/>
    <x v="13"/>
    <x v="13"/>
    <x v="13"/>
    <x v="14"/>
    <x v="154"/>
    <x v="234"/>
    <x v="159"/>
    <x v="311"/>
    <x v="216"/>
    <x v="305"/>
    <x v="7"/>
  </r>
  <r>
    <x v="0"/>
    <x v="22"/>
    <x v="22"/>
    <x v="18"/>
    <x v="18"/>
    <x v="18"/>
    <x v="15"/>
    <x v="165"/>
    <x v="169"/>
    <x v="123"/>
    <x v="328"/>
    <x v="68"/>
    <x v="48"/>
    <x v="7"/>
  </r>
  <r>
    <x v="0"/>
    <x v="22"/>
    <x v="22"/>
    <x v="16"/>
    <x v="16"/>
    <x v="16"/>
    <x v="16"/>
    <x v="271"/>
    <x v="130"/>
    <x v="81"/>
    <x v="17"/>
    <x v="145"/>
    <x v="75"/>
    <x v="7"/>
  </r>
  <r>
    <x v="0"/>
    <x v="22"/>
    <x v="22"/>
    <x v="19"/>
    <x v="19"/>
    <x v="19"/>
    <x v="16"/>
    <x v="271"/>
    <x v="130"/>
    <x v="131"/>
    <x v="29"/>
    <x v="147"/>
    <x v="306"/>
    <x v="7"/>
  </r>
  <r>
    <x v="0"/>
    <x v="22"/>
    <x v="22"/>
    <x v="22"/>
    <x v="22"/>
    <x v="22"/>
    <x v="18"/>
    <x v="272"/>
    <x v="285"/>
    <x v="117"/>
    <x v="135"/>
    <x v="145"/>
    <x v="75"/>
    <x v="1"/>
  </r>
  <r>
    <x v="0"/>
    <x v="22"/>
    <x v="22"/>
    <x v="17"/>
    <x v="17"/>
    <x v="17"/>
    <x v="19"/>
    <x v="273"/>
    <x v="293"/>
    <x v="51"/>
    <x v="259"/>
    <x v="140"/>
    <x v="307"/>
    <x v="7"/>
  </r>
  <r>
    <x v="0"/>
    <x v="23"/>
    <x v="23"/>
    <x v="0"/>
    <x v="0"/>
    <x v="0"/>
    <x v="0"/>
    <x v="274"/>
    <x v="314"/>
    <x v="212"/>
    <x v="329"/>
    <x v="196"/>
    <x v="66"/>
    <x v="7"/>
  </r>
  <r>
    <x v="0"/>
    <x v="23"/>
    <x v="23"/>
    <x v="1"/>
    <x v="1"/>
    <x v="1"/>
    <x v="1"/>
    <x v="275"/>
    <x v="315"/>
    <x v="213"/>
    <x v="330"/>
    <x v="47"/>
    <x v="308"/>
    <x v="7"/>
  </r>
  <r>
    <x v="0"/>
    <x v="23"/>
    <x v="23"/>
    <x v="4"/>
    <x v="4"/>
    <x v="4"/>
    <x v="2"/>
    <x v="276"/>
    <x v="316"/>
    <x v="124"/>
    <x v="71"/>
    <x v="206"/>
    <x v="309"/>
    <x v="7"/>
  </r>
  <r>
    <x v="0"/>
    <x v="23"/>
    <x v="23"/>
    <x v="5"/>
    <x v="5"/>
    <x v="5"/>
    <x v="3"/>
    <x v="277"/>
    <x v="317"/>
    <x v="166"/>
    <x v="331"/>
    <x v="217"/>
    <x v="310"/>
    <x v="7"/>
  </r>
  <r>
    <x v="0"/>
    <x v="23"/>
    <x v="23"/>
    <x v="6"/>
    <x v="6"/>
    <x v="6"/>
    <x v="4"/>
    <x v="278"/>
    <x v="187"/>
    <x v="155"/>
    <x v="332"/>
    <x v="69"/>
    <x v="311"/>
    <x v="7"/>
  </r>
  <r>
    <x v="0"/>
    <x v="23"/>
    <x v="23"/>
    <x v="2"/>
    <x v="2"/>
    <x v="2"/>
    <x v="5"/>
    <x v="219"/>
    <x v="318"/>
    <x v="214"/>
    <x v="333"/>
    <x v="218"/>
    <x v="312"/>
    <x v="7"/>
  </r>
  <r>
    <x v="0"/>
    <x v="23"/>
    <x v="23"/>
    <x v="8"/>
    <x v="8"/>
    <x v="8"/>
    <x v="6"/>
    <x v="207"/>
    <x v="319"/>
    <x v="145"/>
    <x v="334"/>
    <x v="219"/>
    <x v="214"/>
    <x v="7"/>
  </r>
  <r>
    <x v="0"/>
    <x v="23"/>
    <x v="23"/>
    <x v="3"/>
    <x v="3"/>
    <x v="3"/>
    <x v="7"/>
    <x v="269"/>
    <x v="320"/>
    <x v="30"/>
    <x v="314"/>
    <x v="155"/>
    <x v="313"/>
    <x v="7"/>
  </r>
  <r>
    <x v="0"/>
    <x v="23"/>
    <x v="23"/>
    <x v="10"/>
    <x v="10"/>
    <x v="10"/>
    <x v="8"/>
    <x v="234"/>
    <x v="321"/>
    <x v="86"/>
    <x v="31"/>
    <x v="162"/>
    <x v="314"/>
    <x v="7"/>
  </r>
  <r>
    <x v="0"/>
    <x v="23"/>
    <x v="23"/>
    <x v="9"/>
    <x v="9"/>
    <x v="9"/>
    <x v="9"/>
    <x v="134"/>
    <x v="301"/>
    <x v="191"/>
    <x v="335"/>
    <x v="107"/>
    <x v="89"/>
    <x v="7"/>
  </r>
  <r>
    <x v="0"/>
    <x v="23"/>
    <x v="23"/>
    <x v="7"/>
    <x v="7"/>
    <x v="7"/>
    <x v="10"/>
    <x v="279"/>
    <x v="77"/>
    <x v="215"/>
    <x v="114"/>
    <x v="88"/>
    <x v="127"/>
    <x v="7"/>
  </r>
  <r>
    <x v="0"/>
    <x v="23"/>
    <x v="23"/>
    <x v="13"/>
    <x v="13"/>
    <x v="13"/>
    <x v="11"/>
    <x v="263"/>
    <x v="114"/>
    <x v="50"/>
    <x v="336"/>
    <x v="114"/>
    <x v="259"/>
    <x v="7"/>
  </r>
  <r>
    <x v="0"/>
    <x v="23"/>
    <x v="23"/>
    <x v="15"/>
    <x v="15"/>
    <x v="15"/>
    <x v="12"/>
    <x v="83"/>
    <x v="322"/>
    <x v="141"/>
    <x v="196"/>
    <x v="50"/>
    <x v="315"/>
    <x v="7"/>
  </r>
  <r>
    <x v="0"/>
    <x v="23"/>
    <x v="23"/>
    <x v="11"/>
    <x v="11"/>
    <x v="11"/>
    <x v="13"/>
    <x v="264"/>
    <x v="323"/>
    <x v="211"/>
    <x v="322"/>
    <x v="158"/>
    <x v="316"/>
    <x v="7"/>
  </r>
  <r>
    <x v="0"/>
    <x v="23"/>
    <x v="23"/>
    <x v="14"/>
    <x v="14"/>
    <x v="14"/>
    <x v="14"/>
    <x v="86"/>
    <x v="18"/>
    <x v="123"/>
    <x v="37"/>
    <x v="79"/>
    <x v="317"/>
    <x v="7"/>
  </r>
  <r>
    <x v="0"/>
    <x v="23"/>
    <x v="23"/>
    <x v="16"/>
    <x v="16"/>
    <x v="16"/>
    <x v="15"/>
    <x v="52"/>
    <x v="247"/>
    <x v="48"/>
    <x v="224"/>
    <x v="79"/>
    <x v="317"/>
    <x v="7"/>
  </r>
  <r>
    <x v="0"/>
    <x v="23"/>
    <x v="23"/>
    <x v="17"/>
    <x v="17"/>
    <x v="17"/>
    <x v="16"/>
    <x v="53"/>
    <x v="219"/>
    <x v="92"/>
    <x v="337"/>
    <x v="60"/>
    <x v="223"/>
    <x v="7"/>
  </r>
  <r>
    <x v="0"/>
    <x v="23"/>
    <x v="23"/>
    <x v="27"/>
    <x v="27"/>
    <x v="27"/>
    <x v="17"/>
    <x v="267"/>
    <x v="53"/>
    <x v="75"/>
    <x v="162"/>
    <x v="73"/>
    <x v="318"/>
    <x v="7"/>
  </r>
  <r>
    <x v="0"/>
    <x v="23"/>
    <x v="23"/>
    <x v="12"/>
    <x v="12"/>
    <x v="12"/>
    <x v="18"/>
    <x v="69"/>
    <x v="220"/>
    <x v="135"/>
    <x v="83"/>
    <x v="149"/>
    <x v="196"/>
    <x v="7"/>
  </r>
  <r>
    <x v="0"/>
    <x v="23"/>
    <x v="23"/>
    <x v="19"/>
    <x v="19"/>
    <x v="19"/>
    <x v="19"/>
    <x v="196"/>
    <x v="324"/>
    <x v="131"/>
    <x v="338"/>
    <x v="181"/>
    <x v="319"/>
    <x v="7"/>
  </r>
  <r>
    <x v="0"/>
    <x v="24"/>
    <x v="24"/>
    <x v="1"/>
    <x v="1"/>
    <x v="1"/>
    <x v="0"/>
    <x v="240"/>
    <x v="325"/>
    <x v="216"/>
    <x v="339"/>
    <x v="57"/>
    <x v="300"/>
    <x v="7"/>
  </r>
  <r>
    <x v="0"/>
    <x v="24"/>
    <x v="24"/>
    <x v="0"/>
    <x v="0"/>
    <x v="0"/>
    <x v="1"/>
    <x v="213"/>
    <x v="326"/>
    <x v="202"/>
    <x v="340"/>
    <x v="97"/>
    <x v="49"/>
    <x v="7"/>
  </r>
  <r>
    <x v="0"/>
    <x v="24"/>
    <x v="24"/>
    <x v="3"/>
    <x v="3"/>
    <x v="3"/>
    <x v="2"/>
    <x v="280"/>
    <x v="327"/>
    <x v="217"/>
    <x v="192"/>
    <x v="220"/>
    <x v="320"/>
    <x v="7"/>
  </r>
  <r>
    <x v="0"/>
    <x v="24"/>
    <x v="24"/>
    <x v="4"/>
    <x v="4"/>
    <x v="4"/>
    <x v="3"/>
    <x v="281"/>
    <x v="328"/>
    <x v="195"/>
    <x v="341"/>
    <x v="221"/>
    <x v="321"/>
    <x v="7"/>
  </r>
  <r>
    <x v="0"/>
    <x v="24"/>
    <x v="24"/>
    <x v="5"/>
    <x v="5"/>
    <x v="5"/>
    <x v="4"/>
    <x v="282"/>
    <x v="298"/>
    <x v="170"/>
    <x v="342"/>
    <x v="63"/>
    <x v="273"/>
    <x v="7"/>
  </r>
  <r>
    <x v="0"/>
    <x v="24"/>
    <x v="24"/>
    <x v="6"/>
    <x v="6"/>
    <x v="6"/>
    <x v="5"/>
    <x v="283"/>
    <x v="329"/>
    <x v="218"/>
    <x v="343"/>
    <x v="144"/>
    <x v="11"/>
    <x v="7"/>
  </r>
  <r>
    <x v="0"/>
    <x v="24"/>
    <x v="24"/>
    <x v="10"/>
    <x v="10"/>
    <x v="10"/>
    <x v="6"/>
    <x v="284"/>
    <x v="330"/>
    <x v="86"/>
    <x v="314"/>
    <x v="65"/>
    <x v="174"/>
    <x v="7"/>
  </r>
  <r>
    <x v="0"/>
    <x v="24"/>
    <x v="24"/>
    <x v="11"/>
    <x v="11"/>
    <x v="11"/>
    <x v="7"/>
    <x v="216"/>
    <x v="89"/>
    <x v="133"/>
    <x v="344"/>
    <x v="73"/>
    <x v="322"/>
    <x v="3"/>
  </r>
  <r>
    <x v="0"/>
    <x v="24"/>
    <x v="24"/>
    <x v="2"/>
    <x v="2"/>
    <x v="2"/>
    <x v="8"/>
    <x v="235"/>
    <x v="331"/>
    <x v="141"/>
    <x v="345"/>
    <x v="113"/>
    <x v="323"/>
    <x v="1"/>
  </r>
  <r>
    <x v="0"/>
    <x v="24"/>
    <x v="24"/>
    <x v="8"/>
    <x v="8"/>
    <x v="8"/>
    <x v="9"/>
    <x v="100"/>
    <x v="332"/>
    <x v="159"/>
    <x v="118"/>
    <x v="41"/>
    <x v="324"/>
    <x v="7"/>
  </r>
  <r>
    <x v="0"/>
    <x v="24"/>
    <x v="24"/>
    <x v="9"/>
    <x v="9"/>
    <x v="9"/>
    <x v="10"/>
    <x v="118"/>
    <x v="203"/>
    <x v="174"/>
    <x v="301"/>
    <x v="176"/>
    <x v="325"/>
    <x v="7"/>
  </r>
  <r>
    <x v="0"/>
    <x v="24"/>
    <x v="24"/>
    <x v="7"/>
    <x v="7"/>
    <x v="7"/>
    <x v="11"/>
    <x v="67"/>
    <x v="333"/>
    <x v="219"/>
    <x v="235"/>
    <x v="142"/>
    <x v="271"/>
    <x v="7"/>
  </r>
  <r>
    <x v="0"/>
    <x v="24"/>
    <x v="24"/>
    <x v="12"/>
    <x v="12"/>
    <x v="12"/>
    <x v="12"/>
    <x v="104"/>
    <x v="334"/>
    <x v="130"/>
    <x v="346"/>
    <x v="144"/>
    <x v="11"/>
    <x v="7"/>
  </r>
  <r>
    <x v="0"/>
    <x v="24"/>
    <x v="24"/>
    <x v="16"/>
    <x v="16"/>
    <x v="16"/>
    <x v="13"/>
    <x v="267"/>
    <x v="127"/>
    <x v="131"/>
    <x v="190"/>
    <x v="69"/>
    <x v="326"/>
    <x v="7"/>
  </r>
  <r>
    <x v="0"/>
    <x v="24"/>
    <x v="24"/>
    <x v="13"/>
    <x v="13"/>
    <x v="13"/>
    <x v="14"/>
    <x v="70"/>
    <x v="13"/>
    <x v="80"/>
    <x v="215"/>
    <x v="68"/>
    <x v="128"/>
    <x v="7"/>
  </r>
  <r>
    <x v="0"/>
    <x v="24"/>
    <x v="24"/>
    <x v="30"/>
    <x v="30"/>
    <x v="30"/>
    <x v="15"/>
    <x v="161"/>
    <x v="67"/>
    <x v="92"/>
    <x v="82"/>
    <x v="71"/>
    <x v="327"/>
    <x v="7"/>
  </r>
  <r>
    <x v="0"/>
    <x v="24"/>
    <x v="24"/>
    <x v="15"/>
    <x v="15"/>
    <x v="15"/>
    <x v="16"/>
    <x v="91"/>
    <x v="81"/>
    <x v="56"/>
    <x v="99"/>
    <x v="71"/>
    <x v="327"/>
    <x v="7"/>
  </r>
  <r>
    <x v="0"/>
    <x v="24"/>
    <x v="24"/>
    <x v="14"/>
    <x v="14"/>
    <x v="14"/>
    <x v="17"/>
    <x v="163"/>
    <x v="82"/>
    <x v="131"/>
    <x v="190"/>
    <x v="57"/>
    <x v="300"/>
    <x v="7"/>
  </r>
  <r>
    <x v="0"/>
    <x v="24"/>
    <x v="24"/>
    <x v="19"/>
    <x v="19"/>
    <x v="19"/>
    <x v="18"/>
    <x v="145"/>
    <x v="84"/>
    <x v="74"/>
    <x v="117"/>
    <x v="142"/>
    <x v="271"/>
    <x v="7"/>
  </r>
  <r>
    <x v="0"/>
    <x v="24"/>
    <x v="24"/>
    <x v="21"/>
    <x v="21"/>
    <x v="21"/>
    <x v="19"/>
    <x v="155"/>
    <x v="147"/>
    <x v="74"/>
    <x v="117"/>
    <x v="95"/>
    <x v="328"/>
    <x v="7"/>
  </r>
  <r>
    <x v="0"/>
    <x v="24"/>
    <x v="24"/>
    <x v="22"/>
    <x v="22"/>
    <x v="22"/>
    <x v="19"/>
    <x v="155"/>
    <x v="147"/>
    <x v="117"/>
    <x v="135"/>
    <x v="222"/>
    <x v="329"/>
    <x v="7"/>
  </r>
  <r>
    <x v="0"/>
    <x v="24"/>
    <x v="24"/>
    <x v="27"/>
    <x v="27"/>
    <x v="27"/>
    <x v="19"/>
    <x v="155"/>
    <x v="147"/>
    <x v="89"/>
    <x v="101"/>
    <x v="223"/>
    <x v="277"/>
    <x v="7"/>
  </r>
  <r>
    <x v="0"/>
    <x v="25"/>
    <x v="25"/>
    <x v="1"/>
    <x v="1"/>
    <x v="1"/>
    <x v="0"/>
    <x v="83"/>
    <x v="335"/>
    <x v="220"/>
    <x v="347"/>
    <x v="140"/>
    <x v="145"/>
    <x v="7"/>
  </r>
  <r>
    <x v="0"/>
    <x v="25"/>
    <x v="25"/>
    <x v="0"/>
    <x v="0"/>
    <x v="0"/>
    <x v="1"/>
    <x v="203"/>
    <x v="336"/>
    <x v="133"/>
    <x v="348"/>
    <x v="140"/>
    <x v="145"/>
    <x v="7"/>
  </r>
  <r>
    <x v="0"/>
    <x v="25"/>
    <x v="25"/>
    <x v="3"/>
    <x v="3"/>
    <x v="3"/>
    <x v="2"/>
    <x v="210"/>
    <x v="337"/>
    <x v="136"/>
    <x v="349"/>
    <x v="62"/>
    <x v="330"/>
    <x v="7"/>
  </r>
  <r>
    <x v="0"/>
    <x v="25"/>
    <x v="25"/>
    <x v="2"/>
    <x v="2"/>
    <x v="2"/>
    <x v="3"/>
    <x v="120"/>
    <x v="338"/>
    <x v="145"/>
    <x v="350"/>
    <x v="135"/>
    <x v="331"/>
    <x v="7"/>
  </r>
  <r>
    <x v="0"/>
    <x v="25"/>
    <x v="25"/>
    <x v="6"/>
    <x v="6"/>
    <x v="6"/>
    <x v="4"/>
    <x v="285"/>
    <x v="339"/>
    <x v="91"/>
    <x v="351"/>
    <x v="224"/>
    <x v="332"/>
    <x v="7"/>
  </r>
  <r>
    <x v="0"/>
    <x v="25"/>
    <x v="25"/>
    <x v="5"/>
    <x v="5"/>
    <x v="5"/>
    <x v="5"/>
    <x v="196"/>
    <x v="73"/>
    <x v="66"/>
    <x v="352"/>
    <x v="158"/>
    <x v="333"/>
    <x v="7"/>
  </r>
  <r>
    <x v="0"/>
    <x v="25"/>
    <x v="25"/>
    <x v="4"/>
    <x v="4"/>
    <x v="4"/>
    <x v="6"/>
    <x v="286"/>
    <x v="340"/>
    <x v="94"/>
    <x v="215"/>
    <x v="84"/>
    <x v="243"/>
    <x v="7"/>
  </r>
  <r>
    <x v="0"/>
    <x v="25"/>
    <x v="25"/>
    <x v="11"/>
    <x v="11"/>
    <x v="11"/>
    <x v="7"/>
    <x v="198"/>
    <x v="59"/>
    <x v="162"/>
    <x v="353"/>
    <x v="214"/>
    <x v="47"/>
    <x v="7"/>
  </r>
  <r>
    <x v="0"/>
    <x v="25"/>
    <x v="25"/>
    <x v="9"/>
    <x v="9"/>
    <x v="9"/>
    <x v="8"/>
    <x v="163"/>
    <x v="341"/>
    <x v="110"/>
    <x v="354"/>
    <x v="225"/>
    <x v="334"/>
    <x v="7"/>
  </r>
  <r>
    <x v="0"/>
    <x v="25"/>
    <x v="25"/>
    <x v="8"/>
    <x v="8"/>
    <x v="8"/>
    <x v="9"/>
    <x v="188"/>
    <x v="191"/>
    <x v="131"/>
    <x v="355"/>
    <x v="143"/>
    <x v="335"/>
    <x v="7"/>
  </r>
  <r>
    <x v="0"/>
    <x v="25"/>
    <x v="25"/>
    <x v="10"/>
    <x v="10"/>
    <x v="10"/>
    <x v="10"/>
    <x v="217"/>
    <x v="229"/>
    <x v="66"/>
    <x v="352"/>
    <x v="138"/>
    <x v="237"/>
    <x v="7"/>
  </r>
  <r>
    <x v="0"/>
    <x v="25"/>
    <x v="25"/>
    <x v="12"/>
    <x v="12"/>
    <x v="12"/>
    <x v="11"/>
    <x v="166"/>
    <x v="279"/>
    <x v="107"/>
    <x v="356"/>
    <x v="147"/>
    <x v="159"/>
    <x v="7"/>
  </r>
  <r>
    <x v="0"/>
    <x v="25"/>
    <x v="25"/>
    <x v="15"/>
    <x v="15"/>
    <x v="15"/>
    <x v="12"/>
    <x v="167"/>
    <x v="333"/>
    <x v="48"/>
    <x v="200"/>
    <x v="142"/>
    <x v="336"/>
    <x v="7"/>
  </r>
  <r>
    <x v="0"/>
    <x v="25"/>
    <x v="25"/>
    <x v="7"/>
    <x v="7"/>
    <x v="7"/>
    <x v="13"/>
    <x v="273"/>
    <x v="127"/>
    <x v="55"/>
    <x v="298"/>
    <x v="226"/>
    <x v="111"/>
    <x v="7"/>
  </r>
  <r>
    <x v="0"/>
    <x v="25"/>
    <x v="25"/>
    <x v="31"/>
    <x v="31"/>
    <x v="31"/>
    <x v="14"/>
    <x v="287"/>
    <x v="50"/>
    <x v="55"/>
    <x v="298"/>
    <x v="146"/>
    <x v="143"/>
    <x v="7"/>
  </r>
  <r>
    <x v="0"/>
    <x v="25"/>
    <x v="25"/>
    <x v="14"/>
    <x v="14"/>
    <x v="14"/>
    <x v="15"/>
    <x v="288"/>
    <x v="246"/>
    <x v="64"/>
    <x v="16"/>
    <x v="190"/>
    <x v="81"/>
    <x v="7"/>
  </r>
  <r>
    <x v="0"/>
    <x v="25"/>
    <x v="25"/>
    <x v="22"/>
    <x v="22"/>
    <x v="22"/>
    <x v="16"/>
    <x v="289"/>
    <x v="68"/>
    <x v="117"/>
    <x v="135"/>
    <x v="140"/>
    <x v="145"/>
    <x v="3"/>
  </r>
  <r>
    <x v="0"/>
    <x v="25"/>
    <x v="25"/>
    <x v="18"/>
    <x v="18"/>
    <x v="18"/>
    <x v="17"/>
    <x v="290"/>
    <x v="342"/>
    <x v="53"/>
    <x v="357"/>
    <x v="216"/>
    <x v="337"/>
    <x v="7"/>
  </r>
  <r>
    <x v="0"/>
    <x v="25"/>
    <x v="25"/>
    <x v="17"/>
    <x v="17"/>
    <x v="17"/>
    <x v="17"/>
    <x v="290"/>
    <x v="342"/>
    <x v="81"/>
    <x v="129"/>
    <x v="223"/>
    <x v="338"/>
    <x v="7"/>
  </r>
  <r>
    <x v="0"/>
    <x v="25"/>
    <x v="25"/>
    <x v="13"/>
    <x v="13"/>
    <x v="13"/>
    <x v="19"/>
    <x v="291"/>
    <x v="343"/>
    <x v="131"/>
    <x v="355"/>
    <x v="146"/>
    <x v="143"/>
    <x v="7"/>
  </r>
  <r>
    <x v="0"/>
    <x v="26"/>
    <x v="26"/>
    <x v="1"/>
    <x v="1"/>
    <x v="1"/>
    <x v="0"/>
    <x v="262"/>
    <x v="335"/>
    <x v="40"/>
    <x v="358"/>
    <x v="216"/>
    <x v="282"/>
    <x v="7"/>
  </r>
  <r>
    <x v="0"/>
    <x v="26"/>
    <x v="26"/>
    <x v="3"/>
    <x v="3"/>
    <x v="3"/>
    <x v="1"/>
    <x v="119"/>
    <x v="344"/>
    <x v="128"/>
    <x v="359"/>
    <x v="222"/>
    <x v="339"/>
    <x v="7"/>
  </r>
  <r>
    <x v="0"/>
    <x v="26"/>
    <x v="26"/>
    <x v="5"/>
    <x v="5"/>
    <x v="5"/>
    <x v="2"/>
    <x v="120"/>
    <x v="345"/>
    <x v="166"/>
    <x v="140"/>
    <x v="144"/>
    <x v="340"/>
    <x v="7"/>
  </r>
  <r>
    <x v="0"/>
    <x v="26"/>
    <x v="26"/>
    <x v="0"/>
    <x v="0"/>
    <x v="0"/>
    <x v="2"/>
    <x v="120"/>
    <x v="345"/>
    <x v="35"/>
    <x v="360"/>
    <x v="146"/>
    <x v="92"/>
    <x v="7"/>
  </r>
  <r>
    <x v="0"/>
    <x v="26"/>
    <x v="26"/>
    <x v="2"/>
    <x v="2"/>
    <x v="2"/>
    <x v="4"/>
    <x v="67"/>
    <x v="346"/>
    <x v="162"/>
    <x v="273"/>
    <x v="62"/>
    <x v="341"/>
    <x v="7"/>
  </r>
  <r>
    <x v="0"/>
    <x v="26"/>
    <x v="26"/>
    <x v="4"/>
    <x v="4"/>
    <x v="4"/>
    <x v="5"/>
    <x v="102"/>
    <x v="347"/>
    <x v="104"/>
    <x v="312"/>
    <x v="49"/>
    <x v="342"/>
    <x v="7"/>
  </r>
  <r>
    <x v="0"/>
    <x v="26"/>
    <x v="26"/>
    <x v="6"/>
    <x v="6"/>
    <x v="6"/>
    <x v="6"/>
    <x v="153"/>
    <x v="348"/>
    <x v="49"/>
    <x v="361"/>
    <x v="223"/>
    <x v="28"/>
    <x v="7"/>
  </r>
  <r>
    <x v="0"/>
    <x v="26"/>
    <x v="26"/>
    <x v="11"/>
    <x v="11"/>
    <x v="11"/>
    <x v="7"/>
    <x v="142"/>
    <x v="349"/>
    <x v="136"/>
    <x v="89"/>
    <x v="214"/>
    <x v="241"/>
    <x v="7"/>
  </r>
  <r>
    <x v="0"/>
    <x v="26"/>
    <x v="26"/>
    <x v="8"/>
    <x v="8"/>
    <x v="8"/>
    <x v="8"/>
    <x v="198"/>
    <x v="350"/>
    <x v="83"/>
    <x v="362"/>
    <x v="98"/>
    <x v="343"/>
    <x v="7"/>
  </r>
  <r>
    <x v="0"/>
    <x v="26"/>
    <x v="26"/>
    <x v="9"/>
    <x v="9"/>
    <x v="9"/>
    <x v="9"/>
    <x v="162"/>
    <x v="179"/>
    <x v="221"/>
    <x v="344"/>
    <x v="225"/>
    <x v="344"/>
    <x v="7"/>
  </r>
  <r>
    <x v="0"/>
    <x v="26"/>
    <x v="26"/>
    <x v="16"/>
    <x v="16"/>
    <x v="16"/>
    <x v="10"/>
    <x v="72"/>
    <x v="351"/>
    <x v="83"/>
    <x v="362"/>
    <x v="142"/>
    <x v="90"/>
    <x v="7"/>
  </r>
  <r>
    <x v="0"/>
    <x v="26"/>
    <x v="26"/>
    <x v="10"/>
    <x v="10"/>
    <x v="10"/>
    <x v="10"/>
    <x v="72"/>
    <x v="351"/>
    <x v="75"/>
    <x v="279"/>
    <x v="227"/>
    <x v="210"/>
    <x v="7"/>
  </r>
  <r>
    <x v="0"/>
    <x v="26"/>
    <x v="26"/>
    <x v="15"/>
    <x v="15"/>
    <x v="15"/>
    <x v="12"/>
    <x v="199"/>
    <x v="352"/>
    <x v="51"/>
    <x v="86"/>
    <x v="137"/>
    <x v="345"/>
    <x v="7"/>
  </r>
  <r>
    <x v="0"/>
    <x v="26"/>
    <x v="26"/>
    <x v="32"/>
    <x v="32"/>
    <x v="32"/>
    <x v="13"/>
    <x v="146"/>
    <x v="353"/>
    <x v="105"/>
    <x v="33"/>
    <x v="66"/>
    <x v="317"/>
    <x v="7"/>
  </r>
  <r>
    <x v="0"/>
    <x v="26"/>
    <x v="26"/>
    <x v="30"/>
    <x v="30"/>
    <x v="30"/>
    <x v="14"/>
    <x v="147"/>
    <x v="34"/>
    <x v="94"/>
    <x v="363"/>
    <x v="172"/>
    <x v="137"/>
    <x v="7"/>
  </r>
  <r>
    <x v="0"/>
    <x v="26"/>
    <x v="26"/>
    <x v="7"/>
    <x v="7"/>
    <x v="7"/>
    <x v="15"/>
    <x v="273"/>
    <x v="100"/>
    <x v="83"/>
    <x v="362"/>
    <x v="146"/>
    <x v="92"/>
    <x v="7"/>
  </r>
  <r>
    <x v="0"/>
    <x v="26"/>
    <x v="26"/>
    <x v="13"/>
    <x v="13"/>
    <x v="13"/>
    <x v="16"/>
    <x v="292"/>
    <x v="51"/>
    <x v="138"/>
    <x v="364"/>
    <x v="225"/>
    <x v="344"/>
    <x v="7"/>
  </r>
  <r>
    <x v="0"/>
    <x v="26"/>
    <x v="26"/>
    <x v="18"/>
    <x v="18"/>
    <x v="18"/>
    <x v="17"/>
    <x v="293"/>
    <x v="354"/>
    <x v="48"/>
    <x v="99"/>
    <x v="138"/>
    <x v="346"/>
    <x v="7"/>
  </r>
  <r>
    <x v="0"/>
    <x v="26"/>
    <x v="26"/>
    <x v="12"/>
    <x v="12"/>
    <x v="12"/>
    <x v="18"/>
    <x v="294"/>
    <x v="244"/>
    <x v="83"/>
    <x v="362"/>
    <x v="228"/>
    <x v="347"/>
    <x v="7"/>
  </r>
  <r>
    <x v="0"/>
    <x v="26"/>
    <x v="26"/>
    <x v="27"/>
    <x v="27"/>
    <x v="27"/>
    <x v="19"/>
    <x v="287"/>
    <x v="245"/>
    <x v="95"/>
    <x v="260"/>
    <x v="229"/>
    <x v="348"/>
    <x v="7"/>
  </r>
  <r>
    <x v="0"/>
    <x v="27"/>
    <x v="27"/>
    <x v="0"/>
    <x v="0"/>
    <x v="0"/>
    <x v="0"/>
    <x v="277"/>
    <x v="355"/>
    <x v="222"/>
    <x v="365"/>
    <x v="135"/>
    <x v="326"/>
    <x v="7"/>
  </r>
  <r>
    <x v="0"/>
    <x v="27"/>
    <x v="27"/>
    <x v="1"/>
    <x v="1"/>
    <x v="1"/>
    <x v="1"/>
    <x v="128"/>
    <x v="356"/>
    <x v="223"/>
    <x v="366"/>
    <x v="80"/>
    <x v="295"/>
    <x v="7"/>
  </r>
  <r>
    <x v="0"/>
    <x v="27"/>
    <x v="27"/>
    <x v="2"/>
    <x v="2"/>
    <x v="2"/>
    <x v="2"/>
    <x v="150"/>
    <x v="357"/>
    <x v="166"/>
    <x v="367"/>
    <x v="166"/>
    <x v="349"/>
    <x v="7"/>
  </r>
  <r>
    <x v="0"/>
    <x v="27"/>
    <x v="27"/>
    <x v="3"/>
    <x v="3"/>
    <x v="3"/>
    <x v="3"/>
    <x v="215"/>
    <x v="358"/>
    <x v="58"/>
    <x v="368"/>
    <x v="159"/>
    <x v="350"/>
    <x v="7"/>
  </r>
  <r>
    <x v="0"/>
    <x v="27"/>
    <x v="27"/>
    <x v="6"/>
    <x v="6"/>
    <x v="6"/>
    <x v="4"/>
    <x v="65"/>
    <x v="199"/>
    <x v="38"/>
    <x v="369"/>
    <x v="134"/>
    <x v="207"/>
    <x v="1"/>
  </r>
  <r>
    <x v="0"/>
    <x v="27"/>
    <x v="27"/>
    <x v="5"/>
    <x v="5"/>
    <x v="5"/>
    <x v="5"/>
    <x v="295"/>
    <x v="190"/>
    <x v="96"/>
    <x v="49"/>
    <x v="90"/>
    <x v="351"/>
    <x v="7"/>
  </r>
  <r>
    <x v="0"/>
    <x v="27"/>
    <x v="27"/>
    <x v="4"/>
    <x v="4"/>
    <x v="4"/>
    <x v="6"/>
    <x v="120"/>
    <x v="256"/>
    <x v="94"/>
    <x v="370"/>
    <x v="44"/>
    <x v="352"/>
    <x v="7"/>
  </r>
  <r>
    <x v="0"/>
    <x v="27"/>
    <x v="27"/>
    <x v="8"/>
    <x v="8"/>
    <x v="8"/>
    <x v="7"/>
    <x v="53"/>
    <x v="109"/>
    <x v="70"/>
    <x v="371"/>
    <x v="54"/>
    <x v="353"/>
    <x v="7"/>
  </r>
  <r>
    <x v="0"/>
    <x v="27"/>
    <x v="27"/>
    <x v="10"/>
    <x v="10"/>
    <x v="10"/>
    <x v="7"/>
    <x v="53"/>
    <x v="109"/>
    <x v="75"/>
    <x v="372"/>
    <x v="72"/>
    <x v="151"/>
    <x v="7"/>
  </r>
  <r>
    <x v="0"/>
    <x v="27"/>
    <x v="27"/>
    <x v="11"/>
    <x v="11"/>
    <x v="11"/>
    <x v="9"/>
    <x v="183"/>
    <x v="111"/>
    <x v="97"/>
    <x v="373"/>
    <x v="71"/>
    <x v="97"/>
    <x v="7"/>
  </r>
  <r>
    <x v="0"/>
    <x v="27"/>
    <x v="27"/>
    <x v="9"/>
    <x v="9"/>
    <x v="9"/>
    <x v="10"/>
    <x v="54"/>
    <x v="78"/>
    <x v="166"/>
    <x v="367"/>
    <x v="224"/>
    <x v="354"/>
    <x v="7"/>
  </r>
  <r>
    <x v="0"/>
    <x v="27"/>
    <x v="27"/>
    <x v="7"/>
    <x v="7"/>
    <x v="7"/>
    <x v="11"/>
    <x v="55"/>
    <x v="359"/>
    <x v="145"/>
    <x v="374"/>
    <x v="136"/>
    <x v="17"/>
    <x v="7"/>
  </r>
  <r>
    <x v="0"/>
    <x v="27"/>
    <x v="27"/>
    <x v="16"/>
    <x v="16"/>
    <x v="16"/>
    <x v="12"/>
    <x v="141"/>
    <x v="280"/>
    <x v="92"/>
    <x v="375"/>
    <x v="82"/>
    <x v="355"/>
    <x v="7"/>
  </r>
  <r>
    <x v="0"/>
    <x v="27"/>
    <x v="27"/>
    <x v="14"/>
    <x v="14"/>
    <x v="14"/>
    <x v="13"/>
    <x v="198"/>
    <x v="259"/>
    <x v="81"/>
    <x v="376"/>
    <x v="55"/>
    <x v="184"/>
    <x v="7"/>
  </r>
  <r>
    <x v="0"/>
    <x v="27"/>
    <x v="27"/>
    <x v="13"/>
    <x v="13"/>
    <x v="13"/>
    <x v="14"/>
    <x v="145"/>
    <x v="98"/>
    <x v="55"/>
    <x v="377"/>
    <x v="45"/>
    <x v="311"/>
    <x v="7"/>
  </r>
  <r>
    <x v="0"/>
    <x v="27"/>
    <x v="27"/>
    <x v="15"/>
    <x v="15"/>
    <x v="15"/>
    <x v="15"/>
    <x v="73"/>
    <x v="168"/>
    <x v="81"/>
    <x v="376"/>
    <x v="87"/>
    <x v="356"/>
    <x v="7"/>
  </r>
  <r>
    <x v="0"/>
    <x v="27"/>
    <x v="27"/>
    <x v="30"/>
    <x v="30"/>
    <x v="30"/>
    <x v="16"/>
    <x v="223"/>
    <x v="16"/>
    <x v="123"/>
    <x v="223"/>
    <x v="142"/>
    <x v="13"/>
    <x v="7"/>
  </r>
  <r>
    <x v="0"/>
    <x v="27"/>
    <x v="27"/>
    <x v="19"/>
    <x v="19"/>
    <x v="19"/>
    <x v="17"/>
    <x v="157"/>
    <x v="82"/>
    <x v="131"/>
    <x v="82"/>
    <x v="148"/>
    <x v="357"/>
    <x v="7"/>
  </r>
  <r>
    <x v="0"/>
    <x v="27"/>
    <x v="27"/>
    <x v="12"/>
    <x v="12"/>
    <x v="12"/>
    <x v="18"/>
    <x v="167"/>
    <x v="260"/>
    <x v="94"/>
    <x v="370"/>
    <x v="81"/>
    <x v="338"/>
    <x v="7"/>
  </r>
  <r>
    <x v="0"/>
    <x v="27"/>
    <x v="27"/>
    <x v="17"/>
    <x v="17"/>
    <x v="17"/>
    <x v="19"/>
    <x v="271"/>
    <x v="236"/>
    <x v="123"/>
    <x v="223"/>
    <x v="107"/>
    <x v="127"/>
    <x v="7"/>
  </r>
  <r>
    <x v="0"/>
    <x v="28"/>
    <x v="28"/>
    <x v="1"/>
    <x v="1"/>
    <x v="1"/>
    <x v="0"/>
    <x v="296"/>
    <x v="360"/>
    <x v="224"/>
    <x v="378"/>
    <x v="154"/>
    <x v="358"/>
    <x v="7"/>
  </r>
  <r>
    <x v="0"/>
    <x v="28"/>
    <x v="28"/>
    <x v="0"/>
    <x v="0"/>
    <x v="0"/>
    <x v="1"/>
    <x v="297"/>
    <x v="361"/>
    <x v="225"/>
    <x v="379"/>
    <x v="230"/>
    <x v="359"/>
    <x v="1"/>
  </r>
  <r>
    <x v="0"/>
    <x v="28"/>
    <x v="28"/>
    <x v="2"/>
    <x v="2"/>
    <x v="2"/>
    <x v="2"/>
    <x v="298"/>
    <x v="362"/>
    <x v="223"/>
    <x v="380"/>
    <x v="231"/>
    <x v="360"/>
    <x v="7"/>
  </r>
  <r>
    <x v="0"/>
    <x v="28"/>
    <x v="28"/>
    <x v="4"/>
    <x v="4"/>
    <x v="4"/>
    <x v="3"/>
    <x v="299"/>
    <x v="363"/>
    <x v="133"/>
    <x v="381"/>
    <x v="121"/>
    <x v="361"/>
    <x v="7"/>
  </r>
  <r>
    <x v="0"/>
    <x v="28"/>
    <x v="28"/>
    <x v="3"/>
    <x v="3"/>
    <x v="3"/>
    <x v="4"/>
    <x v="257"/>
    <x v="136"/>
    <x v="226"/>
    <x v="382"/>
    <x v="127"/>
    <x v="350"/>
    <x v="7"/>
  </r>
  <r>
    <x v="0"/>
    <x v="28"/>
    <x v="28"/>
    <x v="6"/>
    <x v="6"/>
    <x v="6"/>
    <x v="5"/>
    <x v="300"/>
    <x v="364"/>
    <x v="227"/>
    <x v="383"/>
    <x v="101"/>
    <x v="317"/>
    <x v="3"/>
  </r>
  <r>
    <x v="0"/>
    <x v="28"/>
    <x v="28"/>
    <x v="5"/>
    <x v="5"/>
    <x v="5"/>
    <x v="6"/>
    <x v="301"/>
    <x v="5"/>
    <x v="228"/>
    <x v="384"/>
    <x v="232"/>
    <x v="362"/>
    <x v="7"/>
  </r>
  <r>
    <x v="0"/>
    <x v="28"/>
    <x v="28"/>
    <x v="8"/>
    <x v="8"/>
    <x v="8"/>
    <x v="7"/>
    <x v="302"/>
    <x v="365"/>
    <x v="139"/>
    <x v="363"/>
    <x v="233"/>
    <x v="363"/>
    <x v="7"/>
  </r>
  <r>
    <x v="0"/>
    <x v="28"/>
    <x v="28"/>
    <x v="10"/>
    <x v="10"/>
    <x v="10"/>
    <x v="8"/>
    <x v="201"/>
    <x v="366"/>
    <x v="88"/>
    <x v="385"/>
    <x v="131"/>
    <x v="244"/>
    <x v="7"/>
  </r>
  <r>
    <x v="0"/>
    <x v="28"/>
    <x v="28"/>
    <x v="11"/>
    <x v="11"/>
    <x v="11"/>
    <x v="9"/>
    <x v="303"/>
    <x v="217"/>
    <x v="229"/>
    <x v="386"/>
    <x v="163"/>
    <x v="364"/>
    <x v="7"/>
  </r>
  <r>
    <x v="0"/>
    <x v="28"/>
    <x v="28"/>
    <x v="9"/>
    <x v="9"/>
    <x v="9"/>
    <x v="10"/>
    <x v="304"/>
    <x v="140"/>
    <x v="230"/>
    <x v="387"/>
    <x v="172"/>
    <x v="365"/>
    <x v="7"/>
  </r>
  <r>
    <x v="0"/>
    <x v="28"/>
    <x v="28"/>
    <x v="7"/>
    <x v="7"/>
    <x v="7"/>
    <x v="11"/>
    <x v="305"/>
    <x v="63"/>
    <x v="231"/>
    <x v="388"/>
    <x v="100"/>
    <x v="338"/>
    <x v="7"/>
  </r>
  <r>
    <x v="0"/>
    <x v="28"/>
    <x v="28"/>
    <x v="13"/>
    <x v="13"/>
    <x v="13"/>
    <x v="12"/>
    <x v="139"/>
    <x v="79"/>
    <x v="166"/>
    <x v="12"/>
    <x v="46"/>
    <x v="17"/>
    <x v="7"/>
  </r>
  <r>
    <x v="0"/>
    <x v="28"/>
    <x v="28"/>
    <x v="12"/>
    <x v="12"/>
    <x v="12"/>
    <x v="13"/>
    <x v="216"/>
    <x v="128"/>
    <x v="63"/>
    <x v="389"/>
    <x v="115"/>
    <x v="268"/>
    <x v="7"/>
  </r>
  <r>
    <x v="0"/>
    <x v="28"/>
    <x v="28"/>
    <x v="16"/>
    <x v="16"/>
    <x v="16"/>
    <x v="14"/>
    <x v="194"/>
    <x v="36"/>
    <x v="53"/>
    <x v="151"/>
    <x v="131"/>
    <x v="244"/>
    <x v="7"/>
  </r>
  <r>
    <x v="0"/>
    <x v="28"/>
    <x v="28"/>
    <x v="15"/>
    <x v="15"/>
    <x v="15"/>
    <x v="15"/>
    <x v="187"/>
    <x v="67"/>
    <x v="148"/>
    <x v="390"/>
    <x v="209"/>
    <x v="18"/>
    <x v="7"/>
  </r>
  <r>
    <x v="0"/>
    <x v="28"/>
    <x v="28"/>
    <x v="27"/>
    <x v="27"/>
    <x v="27"/>
    <x v="16"/>
    <x v="103"/>
    <x v="284"/>
    <x v="160"/>
    <x v="228"/>
    <x v="142"/>
    <x v="347"/>
    <x v="7"/>
  </r>
  <r>
    <x v="0"/>
    <x v="28"/>
    <x v="28"/>
    <x v="19"/>
    <x v="19"/>
    <x v="19"/>
    <x v="17"/>
    <x v="152"/>
    <x v="285"/>
    <x v="48"/>
    <x v="391"/>
    <x v="114"/>
    <x v="83"/>
    <x v="7"/>
  </r>
  <r>
    <x v="0"/>
    <x v="28"/>
    <x v="28"/>
    <x v="30"/>
    <x v="30"/>
    <x v="30"/>
    <x v="18"/>
    <x v="211"/>
    <x v="367"/>
    <x v="52"/>
    <x v="392"/>
    <x v="79"/>
    <x v="12"/>
    <x v="7"/>
  </r>
  <r>
    <x v="0"/>
    <x v="28"/>
    <x v="28"/>
    <x v="14"/>
    <x v="14"/>
    <x v="14"/>
    <x v="19"/>
    <x v="153"/>
    <x v="368"/>
    <x v="67"/>
    <x v="64"/>
    <x v="115"/>
    <x v="268"/>
    <x v="7"/>
  </r>
  <r>
    <x v="0"/>
    <x v="29"/>
    <x v="29"/>
    <x v="2"/>
    <x v="2"/>
    <x v="2"/>
    <x v="0"/>
    <x v="306"/>
    <x v="369"/>
    <x v="232"/>
    <x v="393"/>
    <x v="212"/>
    <x v="366"/>
    <x v="7"/>
  </r>
  <r>
    <x v="0"/>
    <x v="29"/>
    <x v="29"/>
    <x v="1"/>
    <x v="1"/>
    <x v="1"/>
    <x v="1"/>
    <x v="76"/>
    <x v="370"/>
    <x v="233"/>
    <x v="394"/>
    <x v="90"/>
    <x v="367"/>
    <x v="7"/>
  </r>
  <r>
    <x v="0"/>
    <x v="29"/>
    <x v="29"/>
    <x v="0"/>
    <x v="0"/>
    <x v="0"/>
    <x v="2"/>
    <x v="307"/>
    <x v="371"/>
    <x v="164"/>
    <x v="395"/>
    <x v="158"/>
    <x v="93"/>
    <x v="7"/>
  </r>
  <r>
    <x v="0"/>
    <x v="29"/>
    <x v="29"/>
    <x v="6"/>
    <x v="6"/>
    <x v="6"/>
    <x v="3"/>
    <x v="308"/>
    <x v="372"/>
    <x v="181"/>
    <x v="23"/>
    <x v="222"/>
    <x v="29"/>
    <x v="7"/>
  </r>
  <r>
    <x v="0"/>
    <x v="29"/>
    <x v="29"/>
    <x v="3"/>
    <x v="3"/>
    <x v="3"/>
    <x v="4"/>
    <x v="174"/>
    <x v="152"/>
    <x v="215"/>
    <x v="396"/>
    <x v="85"/>
    <x v="197"/>
    <x v="7"/>
  </r>
  <r>
    <x v="0"/>
    <x v="29"/>
    <x v="29"/>
    <x v="4"/>
    <x v="4"/>
    <x v="4"/>
    <x v="5"/>
    <x v="113"/>
    <x v="373"/>
    <x v="47"/>
    <x v="397"/>
    <x v="234"/>
    <x v="368"/>
    <x v="7"/>
  </r>
  <r>
    <x v="0"/>
    <x v="29"/>
    <x v="29"/>
    <x v="5"/>
    <x v="5"/>
    <x v="5"/>
    <x v="6"/>
    <x v="216"/>
    <x v="43"/>
    <x v="140"/>
    <x v="81"/>
    <x v="85"/>
    <x v="197"/>
    <x v="7"/>
  </r>
  <r>
    <x v="0"/>
    <x v="29"/>
    <x v="29"/>
    <x v="10"/>
    <x v="10"/>
    <x v="10"/>
    <x v="7"/>
    <x v="47"/>
    <x v="374"/>
    <x v="192"/>
    <x v="398"/>
    <x v="167"/>
    <x v="369"/>
    <x v="7"/>
  </r>
  <r>
    <x v="0"/>
    <x v="29"/>
    <x v="29"/>
    <x v="9"/>
    <x v="9"/>
    <x v="9"/>
    <x v="8"/>
    <x v="119"/>
    <x v="351"/>
    <x v="234"/>
    <x v="399"/>
    <x v="223"/>
    <x v="123"/>
    <x v="7"/>
  </r>
  <r>
    <x v="0"/>
    <x v="29"/>
    <x v="29"/>
    <x v="8"/>
    <x v="8"/>
    <x v="8"/>
    <x v="9"/>
    <x v="205"/>
    <x v="124"/>
    <x v="83"/>
    <x v="355"/>
    <x v="167"/>
    <x v="369"/>
    <x v="7"/>
  </r>
  <r>
    <x v="0"/>
    <x v="29"/>
    <x v="29"/>
    <x v="11"/>
    <x v="11"/>
    <x v="11"/>
    <x v="9"/>
    <x v="205"/>
    <x v="124"/>
    <x v="166"/>
    <x v="400"/>
    <x v="134"/>
    <x v="111"/>
    <x v="7"/>
  </r>
  <r>
    <x v="0"/>
    <x v="29"/>
    <x v="29"/>
    <x v="16"/>
    <x v="16"/>
    <x v="16"/>
    <x v="11"/>
    <x v="85"/>
    <x v="231"/>
    <x v="74"/>
    <x v="401"/>
    <x v="115"/>
    <x v="150"/>
    <x v="7"/>
  </r>
  <r>
    <x v="0"/>
    <x v="29"/>
    <x v="29"/>
    <x v="7"/>
    <x v="7"/>
    <x v="7"/>
    <x v="12"/>
    <x v="52"/>
    <x v="167"/>
    <x v="192"/>
    <x v="398"/>
    <x v="134"/>
    <x v="111"/>
    <x v="7"/>
  </r>
  <r>
    <x v="0"/>
    <x v="29"/>
    <x v="29"/>
    <x v="12"/>
    <x v="12"/>
    <x v="12"/>
    <x v="13"/>
    <x v="197"/>
    <x v="143"/>
    <x v="47"/>
    <x v="397"/>
    <x v="145"/>
    <x v="127"/>
    <x v="7"/>
  </r>
  <r>
    <x v="0"/>
    <x v="29"/>
    <x v="29"/>
    <x v="15"/>
    <x v="15"/>
    <x v="15"/>
    <x v="14"/>
    <x v="57"/>
    <x v="36"/>
    <x v="105"/>
    <x v="402"/>
    <x v="71"/>
    <x v="156"/>
    <x v="7"/>
  </r>
  <r>
    <x v="0"/>
    <x v="29"/>
    <x v="29"/>
    <x v="14"/>
    <x v="14"/>
    <x v="14"/>
    <x v="14"/>
    <x v="57"/>
    <x v="36"/>
    <x v="64"/>
    <x v="85"/>
    <x v="48"/>
    <x v="131"/>
    <x v="7"/>
  </r>
  <r>
    <x v="0"/>
    <x v="29"/>
    <x v="29"/>
    <x v="13"/>
    <x v="13"/>
    <x v="13"/>
    <x v="16"/>
    <x v="198"/>
    <x v="169"/>
    <x v="83"/>
    <x v="355"/>
    <x v="150"/>
    <x v="322"/>
    <x v="7"/>
  </r>
  <r>
    <x v="0"/>
    <x v="29"/>
    <x v="29"/>
    <x v="19"/>
    <x v="19"/>
    <x v="19"/>
    <x v="17"/>
    <x v="72"/>
    <x v="146"/>
    <x v="131"/>
    <x v="131"/>
    <x v="158"/>
    <x v="93"/>
    <x v="7"/>
  </r>
  <r>
    <x v="0"/>
    <x v="29"/>
    <x v="29"/>
    <x v="30"/>
    <x v="30"/>
    <x v="30"/>
    <x v="18"/>
    <x v="73"/>
    <x v="375"/>
    <x v="94"/>
    <x v="206"/>
    <x v="136"/>
    <x v="190"/>
    <x v="7"/>
  </r>
  <r>
    <x v="0"/>
    <x v="29"/>
    <x v="29"/>
    <x v="27"/>
    <x v="27"/>
    <x v="27"/>
    <x v="19"/>
    <x v="155"/>
    <x v="132"/>
    <x v="138"/>
    <x v="403"/>
    <x v="216"/>
    <x v="370"/>
    <x v="7"/>
  </r>
  <r>
    <x v="0"/>
    <x v="30"/>
    <x v="30"/>
    <x v="1"/>
    <x v="1"/>
    <x v="1"/>
    <x v="0"/>
    <x v="309"/>
    <x v="376"/>
    <x v="235"/>
    <x v="404"/>
    <x v="158"/>
    <x v="262"/>
    <x v="1"/>
  </r>
  <r>
    <x v="0"/>
    <x v="30"/>
    <x v="30"/>
    <x v="0"/>
    <x v="0"/>
    <x v="0"/>
    <x v="1"/>
    <x v="43"/>
    <x v="297"/>
    <x v="236"/>
    <x v="405"/>
    <x v="144"/>
    <x v="311"/>
    <x v="7"/>
  </r>
  <r>
    <x v="0"/>
    <x v="30"/>
    <x v="30"/>
    <x v="4"/>
    <x v="4"/>
    <x v="4"/>
    <x v="2"/>
    <x v="310"/>
    <x v="160"/>
    <x v="237"/>
    <x v="406"/>
    <x v="155"/>
    <x v="371"/>
    <x v="7"/>
  </r>
  <r>
    <x v="0"/>
    <x v="30"/>
    <x v="30"/>
    <x v="3"/>
    <x v="3"/>
    <x v="3"/>
    <x v="3"/>
    <x v="200"/>
    <x v="377"/>
    <x v="206"/>
    <x v="407"/>
    <x v="46"/>
    <x v="372"/>
    <x v="7"/>
  </r>
  <r>
    <x v="0"/>
    <x v="30"/>
    <x v="30"/>
    <x v="5"/>
    <x v="5"/>
    <x v="5"/>
    <x v="4"/>
    <x v="172"/>
    <x v="378"/>
    <x v="178"/>
    <x v="408"/>
    <x v="67"/>
    <x v="320"/>
    <x v="7"/>
  </r>
  <r>
    <x v="0"/>
    <x v="30"/>
    <x v="30"/>
    <x v="11"/>
    <x v="11"/>
    <x v="11"/>
    <x v="5"/>
    <x v="111"/>
    <x v="379"/>
    <x v="118"/>
    <x v="396"/>
    <x v="98"/>
    <x v="29"/>
    <x v="1"/>
  </r>
  <r>
    <x v="0"/>
    <x v="30"/>
    <x v="30"/>
    <x v="6"/>
    <x v="6"/>
    <x v="6"/>
    <x v="6"/>
    <x v="79"/>
    <x v="161"/>
    <x v="238"/>
    <x v="409"/>
    <x v="134"/>
    <x v="128"/>
    <x v="1"/>
  </r>
  <r>
    <x v="0"/>
    <x v="30"/>
    <x v="30"/>
    <x v="2"/>
    <x v="2"/>
    <x v="2"/>
    <x v="7"/>
    <x v="116"/>
    <x v="191"/>
    <x v="110"/>
    <x v="77"/>
    <x v="46"/>
    <x v="372"/>
    <x v="1"/>
  </r>
  <r>
    <x v="0"/>
    <x v="30"/>
    <x v="30"/>
    <x v="8"/>
    <x v="8"/>
    <x v="8"/>
    <x v="8"/>
    <x v="311"/>
    <x v="202"/>
    <x v="135"/>
    <x v="302"/>
    <x v="61"/>
    <x v="373"/>
    <x v="7"/>
  </r>
  <r>
    <x v="0"/>
    <x v="30"/>
    <x v="30"/>
    <x v="10"/>
    <x v="10"/>
    <x v="10"/>
    <x v="9"/>
    <x v="99"/>
    <x v="301"/>
    <x v="143"/>
    <x v="410"/>
    <x v="84"/>
    <x v="374"/>
    <x v="7"/>
  </r>
  <r>
    <x v="0"/>
    <x v="30"/>
    <x v="30"/>
    <x v="9"/>
    <x v="9"/>
    <x v="9"/>
    <x v="10"/>
    <x v="64"/>
    <x v="380"/>
    <x v="167"/>
    <x v="411"/>
    <x v="228"/>
    <x v="375"/>
    <x v="7"/>
  </r>
  <r>
    <x v="0"/>
    <x v="30"/>
    <x v="30"/>
    <x v="31"/>
    <x v="31"/>
    <x v="31"/>
    <x v="11"/>
    <x v="194"/>
    <x v="109"/>
    <x v="239"/>
    <x v="218"/>
    <x v="150"/>
    <x v="226"/>
    <x v="7"/>
  </r>
  <r>
    <x v="0"/>
    <x v="30"/>
    <x v="30"/>
    <x v="16"/>
    <x v="16"/>
    <x v="16"/>
    <x v="12"/>
    <x v="210"/>
    <x v="280"/>
    <x v="104"/>
    <x v="412"/>
    <x v="167"/>
    <x v="23"/>
    <x v="7"/>
  </r>
  <r>
    <x v="0"/>
    <x v="30"/>
    <x v="30"/>
    <x v="12"/>
    <x v="12"/>
    <x v="12"/>
    <x v="12"/>
    <x v="210"/>
    <x v="280"/>
    <x v="192"/>
    <x v="413"/>
    <x v="74"/>
    <x v="100"/>
    <x v="7"/>
  </r>
  <r>
    <x v="0"/>
    <x v="30"/>
    <x v="30"/>
    <x v="13"/>
    <x v="13"/>
    <x v="13"/>
    <x v="14"/>
    <x v="68"/>
    <x v="323"/>
    <x v="240"/>
    <x v="325"/>
    <x v="222"/>
    <x v="250"/>
    <x v="7"/>
  </r>
  <r>
    <x v="0"/>
    <x v="30"/>
    <x v="30"/>
    <x v="15"/>
    <x v="15"/>
    <x v="15"/>
    <x v="15"/>
    <x v="197"/>
    <x v="100"/>
    <x v="114"/>
    <x v="414"/>
    <x v="137"/>
    <x v="376"/>
    <x v="7"/>
  </r>
  <r>
    <x v="0"/>
    <x v="30"/>
    <x v="30"/>
    <x v="7"/>
    <x v="7"/>
    <x v="7"/>
    <x v="16"/>
    <x v="142"/>
    <x v="381"/>
    <x v="50"/>
    <x v="311"/>
    <x v="190"/>
    <x v="152"/>
    <x v="7"/>
  </r>
  <r>
    <x v="0"/>
    <x v="30"/>
    <x v="30"/>
    <x v="17"/>
    <x v="17"/>
    <x v="17"/>
    <x v="17"/>
    <x v="198"/>
    <x v="382"/>
    <x v="105"/>
    <x v="113"/>
    <x v="72"/>
    <x v="377"/>
    <x v="7"/>
  </r>
  <r>
    <x v="0"/>
    <x v="30"/>
    <x v="30"/>
    <x v="34"/>
    <x v="34"/>
    <x v="34"/>
    <x v="18"/>
    <x v="58"/>
    <x v="383"/>
    <x v="183"/>
    <x v="203"/>
    <x v="227"/>
    <x v="258"/>
    <x v="7"/>
  </r>
  <r>
    <x v="0"/>
    <x v="30"/>
    <x v="30"/>
    <x v="35"/>
    <x v="35"/>
    <x v="35"/>
    <x v="19"/>
    <x v="165"/>
    <x v="384"/>
    <x v="148"/>
    <x v="56"/>
    <x v="81"/>
    <x v="294"/>
    <x v="7"/>
  </r>
  <r>
    <x v="0"/>
    <x v="30"/>
    <x v="30"/>
    <x v="18"/>
    <x v="18"/>
    <x v="18"/>
    <x v="19"/>
    <x v="165"/>
    <x v="384"/>
    <x v="51"/>
    <x v="307"/>
    <x v="144"/>
    <x v="311"/>
    <x v="7"/>
  </r>
  <r>
    <x v="0"/>
    <x v="31"/>
    <x v="31"/>
    <x v="0"/>
    <x v="0"/>
    <x v="0"/>
    <x v="0"/>
    <x v="312"/>
    <x v="385"/>
    <x v="241"/>
    <x v="415"/>
    <x v="107"/>
    <x v="48"/>
    <x v="7"/>
  </r>
  <r>
    <x v="0"/>
    <x v="31"/>
    <x v="31"/>
    <x v="1"/>
    <x v="1"/>
    <x v="1"/>
    <x v="1"/>
    <x v="313"/>
    <x v="386"/>
    <x v="242"/>
    <x v="416"/>
    <x v="190"/>
    <x v="80"/>
    <x v="7"/>
  </r>
  <r>
    <x v="0"/>
    <x v="31"/>
    <x v="31"/>
    <x v="31"/>
    <x v="31"/>
    <x v="31"/>
    <x v="2"/>
    <x v="97"/>
    <x v="387"/>
    <x v="144"/>
    <x v="45"/>
    <x v="114"/>
    <x v="378"/>
    <x v="7"/>
  </r>
  <r>
    <x v="0"/>
    <x v="31"/>
    <x v="31"/>
    <x v="2"/>
    <x v="2"/>
    <x v="2"/>
    <x v="3"/>
    <x v="186"/>
    <x v="388"/>
    <x v="243"/>
    <x v="256"/>
    <x v="183"/>
    <x v="379"/>
    <x v="7"/>
  </r>
  <r>
    <x v="0"/>
    <x v="31"/>
    <x v="31"/>
    <x v="3"/>
    <x v="3"/>
    <x v="3"/>
    <x v="4"/>
    <x v="263"/>
    <x v="389"/>
    <x v="143"/>
    <x v="417"/>
    <x v="74"/>
    <x v="380"/>
    <x v="7"/>
  </r>
  <r>
    <x v="0"/>
    <x v="31"/>
    <x v="31"/>
    <x v="11"/>
    <x v="11"/>
    <x v="11"/>
    <x v="5"/>
    <x v="66"/>
    <x v="329"/>
    <x v="140"/>
    <x v="418"/>
    <x v="145"/>
    <x v="61"/>
    <x v="7"/>
  </r>
  <r>
    <x v="0"/>
    <x v="31"/>
    <x v="31"/>
    <x v="4"/>
    <x v="4"/>
    <x v="4"/>
    <x v="6"/>
    <x v="102"/>
    <x v="390"/>
    <x v="148"/>
    <x v="228"/>
    <x v="85"/>
    <x v="381"/>
    <x v="7"/>
  </r>
  <r>
    <x v="0"/>
    <x v="31"/>
    <x v="31"/>
    <x v="5"/>
    <x v="5"/>
    <x v="5"/>
    <x v="7"/>
    <x v="267"/>
    <x v="391"/>
    <x v="162"/>
    <x v="49"/>
    <x v="87"/>
    <x v="382"/>
    <x v="7"/>
  </r>
  <r>
    <x v="0"/>
    <x v="31"/>
    <x v="31"/>
    <x v="10"/>
    <x v="10"/>
    <x v="10"/>
    <x v="8"/>
    <x v="54"/>
    <x v="392"/>
    <x v="135"/>
    <x v="419"/>
    <x v="134"/>
    <x v="383"/>
    <x v="7"/>
  </r>
  <r>
    <x v="0"/>
    <x v="31"/>
    <x v="31"/>
    <x v="6"/>
    <x v="6"/>
    <x v="6"/>
    <x v="9"/>
    <x v="197"/>
    <x v="366"/>
    <x v="240"/>
    <x v="420"/>
    <x v="176"/>
    <x v="238"/>
    <x v="11"/>
  </r>
  <r>
    <x v="0"/>
    <x v="31"/>
    <x v="31"/>
    <x v="8"/>
    <x v="8"/>
    <x v="8"/>
    <x v="10"/>
    <x v="188"/>
    <x v="393"/>
    <x v="123"/>
    <x v="200"/>
    <x v="72"/>
    <x v="197"/>
    <x v="7"/>
  </r>
  <r>
    <x v="0"/>
    <x v="31"/>
    <x v="31"/>
    <x v="9"/>
    <x v="9"/>
    <x v="9"/>
    <x v="11"/>
    <x v="199"/>
    <x v="204"/>
    <x v="47"/>
    <x v="421"/>
    <x v="228"/>
    <x v="277"/>
    <x v="7"/>
  </r>
  <r>
    <x v="0"/>
    <x v="31"/>
    <x v="31"/>
    <x v="12"/>
    <x v="12"/>
    <x v="12"/>
    <x v="12"/>
    <x v="74"/>
    <x v="205"/>
    <x v="138"/>
    <x v="422"/>
    <x v="214"/>
    <x v="85"/>
    <x v="7"/>
  </r>
  <r>
    <x v="0"/>
    <x v="31"/>
    <x v="31"/>
    <x v="13"/>
    <x v="13"/>
    <x v="13"/>
    <x v="13"/>
    <x v="167"/>
    <x v="156"/>
    <x v="55"/>
    <x v="189"/>
    <x v="140"/>
    <x v="268"/>
    <x v="7"/>
  </r>
  <r>
    <x v="0"/>
    <x v="31"/>
    <x v="31"/>
    <x v="7"/>
    <x v="7"/>
    <x v="7"/>
    <x v="14"/>
    <x v="146"/>
    <x v="394"/>
    <x v="138"/>
    <x v="422"/>
    <x v="146"/>
    <x v="384"/>
    <x v="7"/>
  </r>
  <r>
    <x v="0"/>
    <x v="31"/>
    <x v="31"/>
    <x v="16"/>
    <x v="16"/>
    <x v="16"/>
    <x v="15"/>
    <x v="293"/>
    <x v="68"/>
    <x v="70"/>
    <x v="423"/>
    <x v="140"/>
    <x v="268"/>
    <x v="7"/>
  </r>
  <r>
    <x v="0"/>
    <x v="31"/>
    <x v="31"/>
    <x v="24"/>
    <x v="24"/>
    <x v="24"/>
    <x v="16"/>
    <x v="287"/>
    <x v="261"/>
    <x v="123"/>
    <x v="200"/>
    <x v="216"/>
    <x v="32"/>
    <x v="7"/>
  </r>
  <r>
    <x v="0"/>
    <x v="31"/>
    <x v="31"/>
    <x v="15"/>
    <x v="15"/>
    <x v="15"/>
    <x v="17"/>
    <x v="314"/>
    <x v="132"/>
    <x v="123"/>
    <x v="200"/>
    <x v="176"/>
    <x v="238"/>
    <x v="7"/>
  </r>
  <r>
    <x v="0"/>
    <x v="31"/>
    <x v="31"/>
    <x v="30"/>
    <x v="30"/>
    <x v="30"/>
    <x v="18"/>
    <x v="315"/>
    <x v="294"/>
    <x v="131"/>
    <x v="328"/>
    <x v="171"/>
    <x v="385"/>
    <x v="7"/>
  </r>
  <r>
    <x v="0"/>
    <x v="31"/>
    <x v="31"/>
    <x v="36"/>
    <x v="36"/>
    <x v="36"/>
    <x v="19"/>
    <x v="316"/>
    <x v="147"/>
    <x v="57"/>
    <x v="251"/>
    <x v="95"/>
    <x v="58"/>
    <x v="7"/>
  </r>
  <r>
    <x v="0"/>
    <x v="32"/>
    <x v="32"/>
    <x v="0"/>
    <x v="0"/>
    <x v="0"/>
    <x v="0"/>
    <x v="179"/>
    <x v="395"/>
    <x v="238"/>
    <x v="424"/>
    <x v="81"/>
    <x v="386"/>
    <x v="1"/>
  </r>
  <r>
    <x v="0"/>
    <x v="32"/>
    <x v="32"/>
    <x v="1"/>
    <x v="1"/>
    <x v="1"/>
    <x v="1"/>
    <x v="135"/>
    <x v="396"/>
    <x v="72"/>
    <x v="425"/>
    <x v="172"/>
    <x v="346"/>
    <x v="7"/>
  </r>
  <r>
    <x v="0"/>
    <x v="32"/>
    <x v="32"/>
    <x v="3"/>
    <x v="3"/>
    <x v="3"/>
    <x v="2"/>
    <x v="87"/>
    <x v="397"/>
    <x v="68"/>
    <x v="349"/>
    <x v="222"/>
    <x v="285"/>
    <x v="7"/>
  </r>
  <r>
    <x v="0"/>
    <x v="32"/>
    <x v="32"/>
    <x v="6"/>
    <x v="6"/>
    <x v="6"/>
    <x v="3"/>
    <x v="141"/>
    <x v="317"/>
    <x v="136"/>
    <x v="426"/>
    <x v="172"/>
    <x v="346"/>
    <x v="7"/>
  </r>
  <r>
    <x v="0"/>
    <x v="32"/>
    <x v="32"/>
    <x v="5"/>
    <x v="5"/>
    <x v="5"/>
    <x v="4"/>
    <x v="71"/>
    <x v="106"/>
    <x v="138"/>
    <x v="305"/>
    <x v="222"/>
    <x v="285"/>
    <x v="7"/>
  </r>
  <r>
    <x v="0"/>
    <x v="32"/>
    <x v="32"/>
    <x v="4"/>
    <x v="4"/>
    <x v="4"/>
    <x v="5"/>
    <x v="57"/>
    <x v="398"/>
    <x v="90"/>
    <x v="427"/>
    <x v="84"/>
    <x v="387"/>
    <x v="7"/>
  </r>
  <r>
    <x v="0"/>
    <x v="32"/>
    <x v="32"/>
    <x v="2"/>
    <x v="2"/>
    <x v="2"/>
    <x v="6"/>
    <x v="161"/>
    <x v="399"/>
    <x v="92"/>
    <x v="428"/>
    <x v="71"/>
    <x v="388"/>
    <x v="7"/>
  </r>
  <r>
    <x v="0"/>
    <x v="32"/>
    <x v="32"/>
    <x v="8"/>
    <x v="8"/>
    <x v="8"/>
    <x v="7"/>
    <x v="145"/>
    <x v="374"/>
    <x v="81"/>
    <x v="429"/>
    <x v="71"/>
    <x v="388"/>
    <x v="7"/>
  </r>
  <r>
    <x v="0"/>
    <x v="32"/>
    <x v="32"/>
    <x v="7"/>
    <x v="7"/>
    <x v="7"/>
    <x v="8"/>
    <x v="58"/>
    <x v="216"/>
    <x v="114"/>
    <x v="430"/>
    <x v="226"/>
    <x v="389"/>
    <x v="7"/>
  </r>
  <r>
    <x v="0"/>
    <x v="32"/>
    <x v="32"/>
    <x v="9"/>
    <x v="9"/>
    <x v="9"/>
    <x v="8"/>
    <x v="58"/>
    <x v="216"/>
    <x v="47"/>
    <x v="431"/>
    <x v="229"/>
    <x v="390"/>
    <x v="7"/>
  </r>
  <r>
    <x v="0"/>
    <x v="32"/>
    <x v="32"/>
    <x v="11"/>
    <x v="11"/>
    <x v="11"/>
    <x v="10"/>
    <x v="166"/>
    <x v="179"/>
    <x v="124"/>
    <x v="432"/>
    <x v="216"/>
    <x v="18"/>
    <x v="7"/>
  </r>
  <r>
    <x v="0"/>
    <x v="32"/>
    <x v="32"/>
    <x v="16"/>
    <x v="16"/>
    <x v="16"/>
    <x v="11"/>
    <x v="271"/>
    <x v="45"/>
    <x v="131"/>
    <x v="414"/>
    <x v="147"/>
    <x v="391"/>
    <x v="7"/>
  </r>
  <r>
    <x v="0"/>
    <x v="32"/>
    <x v="32"/>
    <x v="10"/>
    <x v="10"/>
    <x v="10"/>
    <x v="12"/>
    <x v="272"/>
    <x v="63"/>
    <x v="148"/>
    <x v="433"/>
    <x v="226"/>
    <x v="389"/>
    <x v="7"/>
  </r>
  <r>
    <x v="0"/>
    <x v="32"/>
    <x v="32"/>
    <x v="15"/>
    <x v="15"/>
    <x v="15"/>
    <x v="13"/>
    <x v="293"/>
    <x v="322"/>
    <x v="131"/>
    <x v="414"/>
    <x v="172"/>
    <x v="346"/>
    <x v="7"/>
  </r>
  <r>
    <x v="0"/>
    <x v="32"/>
    <x v="32"/>
    <x v="13"/>
    <x v="13"/>
    <x v="13"/>
    <x v="14"/>
    <x v="317"/>
    <x v="115"/>
    <x v="123"/>
    <x v="317"/>
    <x v="171"/>
    <x v="94"/>
    <x v="7"/>
  </r>
  <r>
    <x v="0"/>
    <x v="32"/>
    <x v="32"/>
    <x v="12"/>
    <x v="12"/>
    <x v="12"/>
    <x v="15"/>
    <x v="288"/>
    <x v="169"/>
    <x v="107"/>
    <x v="434"/>
    <x v="228"/>
    <x v="392"/>
    <x v="7"/>
  </r>
  <r>
    <x v="0"/>
    <x v="32"/>
    <x v="32"/>
    <x v="22"/>
    <x v="22"/>
    <x v="22"/>
    <x v="16"/>
    <x v="290"/>
    <x v="382"/>
    <x v="117"/>
    <x v="135"/>
    <x v="171"/>
    <x v="94"/>
    <x v="7"/>
  </r>
  <r>
    <x v="0"/>
    <x v="32"/>
    <x v="32"/>
    <x v="20"/>
    <x v="20"/>
    <x v="20"/>
    <x v="17"/>
    <x v="318"/>
    <x v="19"/>
    <x v="64"/>
    <x v="113"/>
    <x v="226"/>
    <x v="389"/>
    <x v="4"/>
  </r>
  <r>
    <x v="0"/>
    <x v="32"/>
    <x v="32"/>
    <x v="17"/>
    <x v="17"/>
    <x v="17"/>
    <x v="18"/>
    <x v="291"/>
    <x v="53"/>
    <x v="54"/>
    <x v="190"/>
    <x v="171"/>
    <x v="94"/>
    <x v="7"/>
  </r>
  <r>
    <x v="0"/>
    <x v="32"/>
    <x v="32"/>
    <x v="14"/>
    <x v="14"/>
    <x v="14"/>
    <x v="19"/>
    <x v="319"/>
    <x v="220"/>
    <x v="67"/>
    <x v="263"/>
    <x v="171"/>
    <x v="94"/>
    <x v="7"/>
  </r>
  <r>
    <x v="0"/>
    <x v="33"/>
    <x v="33"/>
    <x v="1"/>
    <x v="1"/>
    <x v="1"/>
    <x v="0"/>
    <x v="84"/>
    <x v="400"/>
    <x v="215"/>
    <x v="435"/>
    <x v="223"/>
    <x v="32"/>
    <x v="7"/>
  </r>
  <r>
    <x v="0"/>
    <x v="33"/>
    <x v="33"/>
    <x v="0"/>
    <x v="0"/>
    <x v="0"/>
    <x v="1"/>
    <x v="264"/>
    <x v="401"/>
    <x v="244"/>
    <x v="436"/>
    <x v="134"/>
    <x v="393"/>
    <x v="7"/>
  </r>
  <r>
    <x v="0"/>
    <x v="33"/>
    <x v="33"/>
    <x v="32"/>
    <x v="32"/>
    <x v="32"/>
    <x v="2"/>
    <x v="210"/>
    <x v="402"/>
    <x v="160"/>
    <x v="23"/>
    <x v="71"/>
    <x v="394"/>
    <x v="7"/>
  </r>
  <r>
    <x v="0"/>
    <x v="33"/>
    <x v="33"/>
    <x v="3"/>
    <x v="3"/>
    <x v="3"/>
    <x v="3"/>
    <x v="120"/>
    <x v="403"/>
    <x v="99"/>
    <x v="437"/>
    <x v="222"/>
    <x v="395"/>
    <x v="7"/>
  </r>
  <r>
    <x v="0"/>
    <x v="33"/>
    <x v="33"/>
    <x v="4"/>
    <x v="4"/>
    <x v="4"/>
    <x v="4"/>
    <x v="144"/>
    <x v="404"/>
    <x v="81"/>
    <x v="438"/>
    <x v="48"/>
    <x v="396"/>
    <x v="7"/>
  </r>
  <r>
    <x v="0"/>
    <x v="33"/>
    <x v="33"/>
    <x v="6"/>
    <x v="6"/>
    <x v="6"/>
    <x v="5"/>
    <x v="89"/>
    <x v="405"/>
    <x v="149"/>
    <x v="439"/>
    <x v="235"/>
    <x v="397"/>
    <x v="7"/>
  </r>
  <r>
    <x v="0"/>
    <x v="33"/>
    <x v="33"/>
    <x v="5"/>
    <x v="5"/>
    <x v="5"/>
    <x v="6"/>
    <x v="57"/>
    <x v="199"/>
    <x v="66"/>
    <x v="168"/>
    <x v="142"/>
    <x v="149"/>
    <x v="7"/>
  </r>
  <r>
    <x v="0"/>
    <x v="33"/>
    <x v="33"/>
    <x v="11"/>
    <x v="11"/>
    <x v="11"/>
    <x v="6"/>
    <x v="57"/>
    <x v="199"/>
    <x v="154"/>
    <x v="440"/>
    <x v="107"/>
    <x v="55"/>
    <x v="7"/>
  </r>
  <r>
    <x v="0"/>
    <x v="33"/>
    <x v="33"/>
    <x v="12"/>
    <x v="12"/>
    <x v="12"/>
    <x v="8"/>
    <x v="198"/>
    <x v="277"/>
    <x v="138"/>
    <x v="68"/>
    <x v="144"/>
    <x v="398"/>
    <x v="7"/>
  </r>
  <r>
    <x v="0"/>
    <x v="33"/>
    <x v="33"/>
    <x v="2"/>
    <x v="2"/>
    <x v="2"/>
    <x v="9"/>
    <x v="91"/>
    <x v="88"/>
    <x v="138"/>
    <x v="68"/>
    <x v="142"/>
    <x v="149"/>
    <x v="7"/>
  </r>
  <r>
    <x v="0"/>
    <x v="33"/>
    <x v="33"/>
    <x v="8"/>
    <x v="8"/>
    <x v="8"/>
    <x v="10"/>
    <x v="165"/>
    <x v="380"/>
    <x v="51"/>
    <x v="317"/>
    <x v="144"/>
    <x v="398"/>
    <x v="7"/>
  </r>
  <r>
    <x v="0"/>
    <x v="33"/>
    <x v="33"/>
    <x v="7"/>
    <x v="7"/>
    <x v="7"/>
    <x v="11"/>
    <x v="271"/>
    <x v="406"/>
    <x v="141"/>
    <x v="441"/>
    <x v="225"/>
    <x v="277"/>
    <x v="7"/>
  </r>
  <r>
    <x v="0"/>
    <x v="33"/>
    <x v="33"/>
    <x v="17"/>
    <x v="17"/>
    <x v="17"/>
    <x v="12"/>
    <x v="273"/>
    <x v="407"/>
    <x v="70"/>
    <x v="118"/>
    <x v="214"/>
    <x v="139"/>
    <x v="7"/>
  </r>
  <r>
    <x v="0"/>
    <x v="33"/>
    <x v="33"/>
    <x v="10"/>
    <x v="10"/>
    <x v="10"/>
    <x v="13"/>
    <x v="294"/>
    <x v="80"/>
    <x v="105"/>
    <x v="213"/>
    <x v="224"/>
    <x v="338"/>
    <x v="7"/>
  </r>
  <r>
    <x v="0"/>
    <x v="33"/>
    <x v="33"/>
    <x v="9"/>
    <x v="9"/>
    <x v="9"/>
    <x v="14"/>
    <x v="287"/>
    <x v="408"/>
    <x v="69"/>
    <x v="442"/>
    <x v="225"/>
    <x v="277"/>
    <x v="7"/>
  </r>
  <r>
    <x v="0"/>
    <x v="33"/>
    <x v="33"/>
    <x v="13"/>
    <x v="13"/>
    <x v="13"/>
    <x v="15"/>
    <x v="315"/>
    <x v="101"/>
    <x v="51"/>
    <x v="317"/>
    <x v="226"/>
    <x v="252"/>
    <x v="7"/>
  </r>
  <r>
    <x v="0"/>
    <x v="33"/>
    <x v="33"/>
    <x v="21"/>
    <x v="21"/>
    <x v="21"/>
    <x v="16"/>
    <x v="290"/>
    <x v="83"/>
    <x v="52"/>
    <x v="147"/>
    <x v="227"/>
    <x v="71"/>
    <x v="7"/>
  </r>
  <r>
    <x v="0"/>
    <x v="33"/>
    <x v="33"/>
    <x v="22"/>
    <x v="22"/>
    <x v="22"/>
    <x v="16"/>
    <x v="290"/>
    <x v="83"/>
    <x v="117"/>
    <x v="135"/>
    <x v="171"/>
    <x v="148"/>
    <x v="7"/>
  </r>
  <r>
    <x v="0"/>
    <x v="33"/>
    <x v="33"/>
    <x v="29"/>
    <x v="29"/>
    <x v="29"/>
    <x v="18"/>
    <x v="320"/>
    <x v="54"/>
    <x v="117"/>
    <x v="135"/>
    <x v="176"/>
    <x v="153"/>
    <x v="1"/>
  </r>
  <r>
    <x v="0"/>
    <x v="33"/>
    <x v="33"/>
    <x v="27"/>
    <x v="27"/>
    <x v="27"/>
    <x v="19"/>
    <x v="321"/>
    <x v="409"/>
    <x v="70"/>
    <x v="118"/>
    <x v="229"/>
    <x v="399"/>
    <x v="7"/>
  </r>
  <r>
    <x v="0"/>
    <x v="34"/>
    <x v="34"/>
    <x v="0"/>
    <x v="0"/>
    <x v="0"/>
    <x v="0"/>
    <x v="234"/>
    <x v="410"/>
    <x v="205"/>
    <x v="443"/>
    <x v="81"/>
    <x v="400"/>
    <x v="7"/>
  </r>
  <r>
    <x v="0"/>
    <x v="34"/>
    <x v="34"/>
    <x v="1"/>
    <x v="1"/>
    <x v="1"/>
    <x v="1"/>
    <x v="282"/>
    <x v="411"/>
    <x v="158"/>
    <x v="444"/>
    <x v="142"/>
    <x v="358"/>
    <x v="7"/>
  </r>
  <r>
    <x v="0"/>
    <x v="34"/>
    <x v="34"/>
    <x v="6"/>
    <x v="6"/>
    <x v="6"/>
    <x v="2"/>
    <x v="210"/>
    <x v="345"/>
    <x v="211"/>
    <x v="445"/>
    <x v="138"/>
    <x v="67"/>
    <x v="7"/>
  </r>
  <r>
    <x v="0"/>
    <x v="34"/>
    <x v="34"/>
    <x v="3"/>
    <x v="3"/>
    <x v="3"/>
    <x v="3"/>
    <x v="322"/>
    <x v="308"/>
    <x v="149"/>
    <x v="446"/>
    <x v="74"/>
    <x v="265"/>
    <x v="7"/>
  </r>
  <r>
    <x v="0"/>
    <x v="34"/>
    <x v="34"/>
    <x v="4"/>
    <x v="4"/>
    <x v="4"/>
    <x v="4"/>
    <x v="120"/>
    <x v="412"/>
    <x v="69"/>
    <x v="316"/>
    <x v="79"/>
    <x v="401"/>
    <x v="7"/>
  </r>
  <r>
    <x v="0"/>
    <x v="34"/>
    <x v="34"/>
    <x v="5"/>
    <x v="5"/>
    <x v="5"/>
    <x v="5"/>
    <x v="68"/>
    <x v="413"/>
    <x v="114"/>
    <x v="374"/>
    <x v="177"/>
    <x v="402"/>
    <x v="7"/>
  </r>
  <r>
    <x v="0"/>
    <x v="34"/>
    <x v="34"/>
    <x v="9"/>
    <x v="9"/>
    <x v="9"/>
    <x v="6"/>
    <x v="211"/>
    <x v="414"/>
    <x v="121"/>
    <x v="447"/>
    <x v="224"/>
    <x v="403"/>
    <x v="7"/>
  </r>
  <r>
    <x v="0"/>
    <x v="34"/>
    <x v="34"/>
    <x v="2"/>
    <x v="2"/>
    <x v="2"/>
    <x v="7"/>
    <x v="55"/>
    <x v="415"/>
    <x v="107"/>
    <x v="448"/>
    <x v="100"/>
    <x v="404"/>
    <x v="1"/>
  </r>
  <r>
    <x v="0"/>
    <x v="34"/>
    <x v="34"/>
    <x v="31"/>
    <x v="31"/>
    <x v="31"/>
    <x v="8"/>
    <x v="71"/>
    <x v="331"/>
    <x v="97"/>
    <x v="11"/>
    <x v="134"/>
    <x v="359"/>
    <x v="7"/>
  </r>
  <r>
    <x v="0"/>
    <x v="34"/>
    <x v="34"/>
    <x v="8"/>
    <x v="8"/>
    <x v="8"/>
    <x v="9"/>
    <x v="161"/>
    <x v="380"/>
    <x v="90"/>
    <x v="203"/>
    <x v="56"/>
    <x v="405"/>
    <x v="7"/>
  </r>
  <r>
    <x v="0"/>
    <x v="34"/>
    <x v="34"/>
    <x v="11"/>
    <x v="11"/>
    <x v="11"/>
    <x v="10"/>
    <x v="162"/>
    <x v="269"/>
    <x v="68"/>
    <x v="449"/>
    <x v="171"/>
    <x v="179"/>
    <x v="7"/>
  </r>
  <r>
    <x v="0"/>
    <x v="34"/>
    <x v="34"/>
    <x v="10"/>
    <x v="10"/>
    <x v="10"/>
    <x v="11"/>
    <x v="217"/>
    <x v="416"/>
    <x v="124"/>
    <x v="450"/>
    <x v="81"/>
    <x v="400"/>
    <x v="7"/>
  </r>
  <r>
    <x v="0"/>
    <x v="34"/>
    <x v="34"/>
    <x v="7"/>
    <x v="7"/>
    <x v="7"/>
    <x v="12"/>
    <x v="155"/>
    <x v="182"/>
    <x v="104"/>
    <x v="451"/>
    <x v="226"/>
    <x v="332"/>
    <x v="7"/>
  </r>
  <r>
    <x v="0"/>
    <x v="34"/>
    <x v="34"/>
    <x v="13"/>
    <x v="13"/>
    <x v="13"/>
    <x v="13"/>
    <x v="167"/>
    <x v="95"/>
    <x v="105"/>
    <x v="4"/>
    <x v="172"/>
    <x v="327"/>
    <x v="7"/>
  </r>
  <r>
    <x v="0"/>
    <x v="34"/>
    <x v="34"/>
    <x v="16"/>
    <x v="16"/>
    <x v="16"/>
    <x v="14"/>
    <x v="168"/>
    <x v="80"/>
    <x v="81"/>
    <x v="259"/>
    <x v="134"/>
    <x v="359"/>
    <x v="7"/>
  </r>
  <r>
    <x v="0"/>
    <x v="34"/>
    <x v="34"/>
    <x v="15"/>
    <x v="15"/>
    <x v="15"/>
    <x v="15"/>
    <x v="146"/>
    <x v="96"/>
    <x v="94"/>
    <x v="289"/>
    <x v="214"/>
    <x v="7"/>
    <x v="7"/>
  </r>
  <r>
    <x v="0"/>
    <x v="34"/>
    <x v="34"/>
    <x v="12"/>
    <x v="12"/>
    <x v="12"/>
    <x v="16"/>
    <x v="292"/>
    <x v="394"/>
    <x v="51"/>
    <x v="196"/>
    <x v="190"/>
    <x v="251"/>
    <x v="7"/>
  </r>
  <r>
    <x v="0"/>
    <x v="34"/>
    <x v="34"/>
    <x v="21"/>
    <x v="21"/>
    <x v="21"/>
    <x v="16"/>
    <x v="292"/>
    <x v="394"/>
    <x v="107"/>
    <x v="448"/>
    <x v="226"/>
    <x v="332"/>
    <x v="7"/>
  </r>
  <r>
    <x v="0"/>
    <x v="34"/>
    <x v="34"/>
    <x v="17"/>
    <x v="17"/>
    <x v="17"/>
    <x v="18"/>
    <x v="288"/>
    <x v="324"/>
    <x v="53"/>
    <x v="452"/>
    <x v="140"/>
    <x v="85"/>
    <x v="7"/>
  </r>
  <r>
    <x v="0"/>
    <x v="34"/>
    <x v="34"/>
    <x v="19"/>
    <x v="19"/>
    <x v="19"/>
    <x v="18"/>
    <x v="288"/>
    <x v="324"/>
    <x v="54"/>
    <x v="35"/>
    <x v="172"/>
    <x v="327"/>
    <x v="7"/>
  </r>
  <r>
    <x v="0"/>
    <x v="35"/>
    <x v="35"/>
    <x v="0"/>
    <x v="0"/>
    <x v="0"/>
    <x v="0"/>
    <x v="323"/>
    <x v="417"/>
    <x v="245"/>
    <x v="453"/>
    <x v="137"/>
    <x v="210"/>
    <x v="7"/>
  </r>
  <r>
    <x v="0"/>
    <x v="35"/>
    <x v="35"/>
    <x v="2"/>
    <x v="2"/>
    <x v="2"/>
    <x v="1"/>
    <x v="324"/>
    <x v="418"/>
    <x v="47"/>
    <x v="454"/>
    <x v="165"/>
    <x v="406"/>
    <x v="7"/>
  </r>
  <r>
    <x v="0"/>
    <x v="35"/>
    <x v="35"/>
    <x v="1"/>
    <x v="1"/>
    <x v="1"/>
    <x v="1"/>
    <x v="324"/>
    <x v="418"/>
    <x v="246"/>
    <x v="455"/>
    <x v="80"/>
    <x v="260"/>
    <x v="7"/>
  </r>
  <r>
    <x v="0"/>
    <x v="35"/>
    <x v="35"/>
    <x v="4"/>
    <x v="4"/>
    <x v="4"/>
    <x v="3"/>
    <x v="325"/>
    <x v="213"/>
    <x v="107"/>
    <x v="456"/>
    <x v="93"/>
    <x v="166"/>
    <x v="7"/>
  </r>
  <r>
    <x v="0"/>
    <x v="35"/>
    <x v="35"/>
    <x v="3"/>
    <x v="3"/>
    <x v="3"/>
    <x v="4"/>
    <x v="180"/>
    <x v="5"/>
    <x v="99"/>
    <x v="457"/>
    <x v="141"/>
    <x v="289"/>
    <x v="7"/>
  </r>
  <r>
    <x v="0"/>
    <x v="35"/>
    <x v="35"/>
    <x v="6"/>
    <x v="6"/>
    <x v="6"/>
    <x v="5"/>
    <x v="264"/>
    <x v="255"/>
    <x v="120"/>
    <x v="458"/>
    <x v="142"/>
    <x v="173"/>
    <x v="7"/>
  </r>
  <r>
    <x v="0"/>
    <x v="35"/>
    <x v="35"/>
    <x v="5"/>
    <x v="5"/>
    <x v="5"/>
    <x v="6"/>
    <x v="203"/>
    <x v="419"/>
    <x v="82"/>
    <x v="100"/>
    <x v="64"/>
    <x v="407"/>
    <x v="7"/>
  </r>
  <r>
    <x v="0"/>
    <x v="35"/>
    <x v="35"/>
    <x v="15"/>
    <x v="15"/>
    <x v="15"/>
    <x v="7"/>
    <x v="48"/>
    <x v="200"/>
    <x v="74"/>
    <x v="323"/>
    <x v="196"/>
    <x v="408"/>
    <x v="7"/>
  </r>
  <r>
    <x v="0"/>
    <x v="35"/>
    <x v="35"/>
    <x v="8"/>
    <x v="8"/>
    <x v="8"/>
    <x v="8"/>
    <x v="181"/>
    <x v="420"/>
    <x v="107"/>
    <x v="456"/>
    <x v="64"/>
    <x v="407"/>
    <x v="7"/>
  </r>
  <r>
    <x v="0"/>
    <x v="35"/>
    <x v="35"/>
    <x v="16"/>
    <x v="16"/>
    <x v="16"/>
    <x v="9"/>
    <x v="120"/>
    <x v="421"/>
    <x v="123"/>
    <x v="459"/>
    <x v="67"/>
    <x v="409"/>
    <x v="7"/>
  </r>
  <r>
    <x v="0"/>
    <x v="35"/>
    <x v="35"/>
    <x v="10"/>
    <x v="10"/>
    <x v="10"/>
    <x v="9"/>
    <x v="120"/>
    <x v="421"/>
    <x v="68"/>
    <x v="460"/>
    <x v="100"/>
    <x v="1"/>
    <x v="7"/>
  </r>
  <r>
    <x v="0"/>
    <x v="35"/>
    <x v="35"/>
    <x v="7"/>
    <x v="7"/>
    <x v="7"/>
    <x v="11"/>
    <x v="87"/>
    <x v="280"/>
    <x v="195"/>
    <x v="461"/>
    <x v="98"/>
    <x v="68"/>
    <x v="1"/>
  </r>
  <r>
    <x v="0"/>
    <x v="35"/>
    <x v="35"/>
    <x v="9"/>
    <x v="9"/>
    <x v="9"/>
    <x v="12"/>
    <x v="70"/>
    <x v="48"/>
    <x v="128"/>
    <x v="431"/>
    <x v="236"/>
    <x v="410"/>
    <x v="7"/>
  </r>
  <r>
    <x v="0"/>
    <x v="35"/>
    <x v="35"/>
    <x v="14"/>
    <x v="14"/>
    <x v="14"/>
    <x v="13"/>
    <x v="286"/>
    <x v="422"/>
    <x v="84"/>
    <x v="290"/>
    <x v="48"/>
    <x v="411"/>
    <x v="7"/>
  </r>
  <r>
    <x v="0"/>
    <x v="35"/>
    <x v="35"/>
    <x v="11"/>
    <x v="11"/>
    <x v="11"/>
    <x v="13"/>
    <x v="286"/>
    <x v="422"/>
    <x v="114"/>
    <x v="49"/>
    <x v="147"/>
    <x v="125"/>
    <x v="7"/>
  </r>
  <r>
    <x v="0"/>
    <x v="35"/>
    <x v="35"/>
    <x v="37"/>
    <x v="37"/>
    <x v="37"/>
    <x v="15"/>
    <x v="198"/>
    <x v="13"/>
    <x v="53"/>
    <x v="30"/>
    <x v="48"/>
    <x v="411"/>
    <x v="7"/>
  </r>
  <r>
    <x v="0"/>
    <x v="35"/>
    <x v="35"/>
    <x v="18"/>
    <x v="18"/>
    <x v="18"/>
    <x v="16"/>
    <x v="162"/>
    <x v="168"/>
    <x v="64"/>
    <x v="247"/>
    <x v="76"/>
    <x v="156"/>
    <x v="7"/>
  </r>
  <r>
    <x v="0"/>
    <x v="35"/>
    <x v="35"/>
    <x v="17"/>
    <x v="17"/>
    <x v="17"/>
    <x v="17"/>
    <x v="145"/>
    <x v="15"/>
    <x v="131"/>
    <x v="39"/>
    <x v="72"/>
    <x v="71"/>
    <x v="7"/>
  </r>
  <r>
    <x v="0"/>
    <x v="35"/>
    <x v="35"/>
    <x v="38"/>
    <x v="38"/>
    <x v="38"/>
    <x v="18"/>
    <x v="199"/>
    <x v="235"/>
    <x v="57"/>
    <x v="462"/>
    <x v="74"/>
    <x v="412"/>
    <x v="7"/>
  </r>
  <r>
    <x v="0"/>
    <x v="35"/>
    <x v="35"/>
    <x v="13"/>
    <x v="13"/>
    <x v="13"/>
    <x v="19"/>
    <x v="154"/>
    <x v="382"/>
    <x v="90"/>
    <x v="196"/>
    <x v="144"/>
    <x v="134"/>
    <x v="7"/>
  </r>
  <r>
    <x v="0"/>
    <x v="36"/>
    <x v="36"/>
    <x v="0"/>
    <x v="0"/>
    <x v="0"/>
    <x v="0"/>
    <x v="185"/>
    <x v="423"/>
    <x v="156"/>
    <x v="463"/>
    <x v="98"/>
    <x v="42"/>
    <x v="7"/>
  </r>
  <r>
    <x v="0"/>
    <x v="36"/>
    <x v="36"/>
    <x v="1"/>
    <x v="1"/>
    <x v="1"/>
    <x v="1"/>
    <x v="326"/>
    <x v="424"/>
    <x v="247"/>
    <x v="464"/>
    <x v="45"/>
    <x v="364"/>
    <x v="7"/>
  </r>
  <r>
    <x v="0"/>
    <x v="36"/>
    <x v="36"/>
    <x v="2"/>
    <x v="2"/>
    <x v="2"/>
    <x v="2"/>
    <x v="82"/>
    <x v="425"/>
    <x v="103"/>
    <x v="465"/>
    <x v="79"/>
    <x v="301"/>
    <x v="7"/>
  </r>
  <r>
    <x v="0"/>
    <x v="36"/>
    <x v="36"/>
    <x v="3"/>
    <x v="3"/>
    <x v="3"/>
    <x v="3"/>
    <x v="180"/>
    <x v="426"/>
    <x v="243"/>
    <x v="466"/>
    <x v="141"/>
    <x v="413"/>
    <x v="1"/>
  </r>
  <r>
    <x v="0"/>
    <x v="36"/>
    <x v="36"/>
    <x v="4"/>
    <x v="4"/>
    <x v="4"/>
    <x v="4"/>
    <x v="83"/>
    <x v="240"/>
    <x v="69"/>
    <x v="149"/>
    <x v="113"/>
    <x v="414"/>
    <x v="7"/>
  </r>
  <r>
    <x v="0"/>
    <x v="36"/>
    <x v="36"/>
    <x v="5"/>
    <x v="5"/>
    <x v="5"/>
    <x v="5"/>
    <x v="248"/>
    <x v="253"/>
    <x v="95"/>
    <x v="356"/>
    <x v="115"/>
    <x v="182"/>
    <x v="7"/>
  </r>
  <r>
    <x v="0"/>
    <x v="36"/>
    <x v="36"/>
    <x v="6"/>
    <x v="6"/>
    <x v="6"/>
    <x v="6"/>
    <x v="66"/>
    <x v="199"/>
    <x v="160"/>
    <x v="467"/>
    <x v="134"/>
    <x v="33"/>
    <x v="1"/>
  </r>
  <r>
    <x v="0"/>
    <x v="36"/>
    <x v="36"/>
    <x v="9"/>
    <x v="9"/>
    <x v="9"/>
    <x v="7"/>
    <x v="205"/>
    <x v="427"/>
    <x v="143"/>
    <x v="468"/>
    <x v="226"/>
    <x v="415"/>
    <x v="7"/>
  </r>
  <r>
    <x v="0"/>
    <x v="36"/>
    <x v="36"/>
    <x v="31"/>
    <x v="31"/>
    <x v="31"/>
    <x v="8"/>
    <x v="104"/>
    <x v="138"/>
    <x v="192"/>
    <x v="469"/>
    <x v="68"/>
    <x v="122"/>
    <x v="7"/>
  </r>
  <r>
    <x v="0"/>
    <x v="36"/>
    <x v="36"/>
    <x v="10"/>
    <x v="10"/>
    <x v="10"/>
    <x v="9"/>
    <x v="55"/>
    <x v="202"/>
    <x v="183"/>
    <x v="470"/>
    <x v="143"/>
    <x v="416"/>
    <x v="7"/>
  </r>
  <r>
    <x v="0"/>
    <x v="36"/>
    <x v="36"/>
    <x v="11"/>
    <x v="11"/>
    <x v="11"/>
    <x v="10"/>
    <x v="88"/>
    <x v="416"/>
    <x v="68"/>
    <x v="471"/>
    <x v="81"/>
    <x v="190"/>
    <x v="7"/>
  </r>
  <r>
    <x v="0"/>
    <x v="36"/>
    <x v="36"/>
    <x v="7"/>
    <x v="7"/>
    <x v="7"/>
    <x v="11"/>
    <x v="144"/>
    <x v="428"/>
    <x v="141"/>
    <x v="472"/>
    <x v="45"/>
    <x v="364"/>
    <x v="7"/>
  </r>
  <r>
    <x v="0"/>
    <x v="36"/>
    <x v="36"/>
    <x v="8"/>
    <x v="8"/>
    <x v="8"/>
    <x v="12"/>
    <x v="89"/>
    <x v="62"/>
    <x v="123"/>
    <x v="80"/>
    <x v="76"/>
    <x v="362"/>
    <x v="7"/>
  </r>
  <r>
    <x v="0"/>
    <x v="36"/>
    <x v="36"/>
    <x v="17"/>
    <x v="17"/>
    <x v="17"/>
    <x v="13"/>
    <x v="163"/>
    <x v="113"/>
    <x v="82"/>
    <x v="473"/>
    <x v="68"/>
    <x v="122"/>
    <x v="7"/>
  </r>
  <r>
    <x v="0"/>
    <x v="36"/>
    <x v="36"/>
    <x v="12"/>
    <x v="12"/>
    <x v="12"/>
    <x v="14"/>
    <x v="58"/>
    <x v="80"/>
    <x v="106"/>
    <x v="413"/>
    <x v="214"/>
    <x v="210"/>
    <x v="7"/>
  </r>
  <r>
    <x v="0"/>
    <x v="36"/>
    <x v="36"/>
    <x v="22"/>
    <x v="22"/>
    <x v="22"/>
    <x v="15"/>
    <x v="146"/>
    <x v="146"/>
    <x v="117"/>
    <x v="135"/>
    <x v="81"/>
    <x v="190"/>
    <x v="7"/>
  </r>
  <r>
    <x v="0"/>
    <x v="36"/>
    <x v="36"/>
    <x v="27"/>
    <x v="27"/>
    <x v="27"/>
    <x v="15"/>
    <x v="146"/>
    <x v="146"/>
    <x v="124"/>
    <x v="213"/>
    <x v="237"/>
    <x v="161"/>
    <x v="7"/>
  </r>
  <r>
    <x v="0"/>
    <x v="36"/>
    <x v="36"/>
    <x v="16"/>
    <x v="16"/>
    <x v="16"/>
    <x v="17"/>
    <x v="293"/>
    <x v="220"/>
    <x v="84"/>
    <x v="160"/>
    <x v="81"/>
    <x v="190"/>
    <x v="7"/>
  </r>
  <r>
    <x v="0"/>
    <x v="36"/>
    <x v="36"/>
    <x v="19"/>
    <x v="19"/>
    <x v="19"/>
    <x v="18"/>
    <x v="287"/>
    <x v="429"/>
    <x v="84"/>
    <x v="160"/>
    <x v="138"/>
    <x v="140"/>
    <x v="7"/>
  </r>
  <r>
    <x v="0"/>
    <x v="36"/>
    <x v="36"/>
    <x v="13"/>
    <x v="13"/>
    <x v="13"/>
    <x v="19"/>
    <x v="317"/>
    <x v="367"/>
    <x v="51"/>
    <x v="161"/>
    <x v="176"/>
    <x v="417"/>
    <x v="7"/>
  </r>
  <r>
    <x v="0"/>
    <x v="37"/>
    <x v="37"/>
    <x v="1"/>
    <x v="1"/>
    <x v="1"/>
    <x v="0"/>
    <x v="99"/>
    <x v="430"/>
    <x v="248"/>
    <x v="474"/>
    <x v="164"/>
    <x v="418"/>
    <x v="7"/>
  </r>
  <r>
    <x v="0"/>
    <x v="37"/>
    <x v="37"/>
    <x v="4"/>
    <x v="4"/>
    <x v="4"/>
    <x v="1"/>
    <x v="101"/>
    <x v="431"/>
    <x v="154"/>
    <x v="409"/>
    <x v="141"/>
    <x v="419"/>
    <x v="7"/>
  </r>
  <r>
    <x v="0"/>
    <x v="37"/>
    <x v="37"/>
    <x v="3"/>
    <x v="3"/>
    <x v="3"/>
    <x v="2"/>
    <x v="105"/>
    <x v="432"/>
    <x v="68"/>
    <x v="475"/>
    <x v="56"/>
    <x v="420"/>
    <x v="7"/>
  </r>
  <r>
    <x v="0"/>
    <x v="37"/>
    <x v="37"/>
    <x v="0"/>
    <x v="0"/>
    <x v="0"/>
    <x v="3"/>
    <x v="266"/>
    <x v="433"/>
    <x v="58"/>
    <x v="476"/>
    <x v="226"/>
    <x v="151"/>
    <x v="7"/>
  </r>
  <r>
    <x v="0"/>
    <x v="37"/>
    <x v="37"/>
    <x v="5"/>
    <x v="5"/>
    <x v="5"/>
    <x v="4"/>
    <x v="286"/>
    <x v="434"/>
    <x v="195"/>
    <x v="407"/>
    <x v="190"/>
    <x v="421"/>
    <x v="7"/>
  </r>
  <r>
    <x v="0"/>
    <x v="37"/>
    <x v="37"/>
    <x v="11"/>
    <x v="11"/>
    <x v="11"/>
    <x v="5"/>
    <x v="145"/>
    <x v="414"/>
    <x v="97"/>
    <x v="3"/>
    <x v="226"/>
    <x v="151"/>
    <x v="1"/>
  </r>
  <r>
    <x v="0"/>
    <x v="37"/>
    <x v="37"/>
    <x v="6"/>
    <x v="6"/>
    <x v="6"/>
    <x v="6"/>
    <x v="166"/>
    <x v="174"/>
    <x v="183"/>
    <x v="411"/>
    <x v="237"/>
    <x v="422"/>
    <x v="7"/>
  </r>
  <r>
    <x v="0"/>
    <x v="37"/>
    <x v="37"/>
    <x v="10"/>
    <x v="10"/>
    <x v="10"/>
    <x v="7"/>
    <x v="327"/>
    <x v="435"/>
    <x v="106"/>
    <x v="258"/>
    <x v="176"/>
    <x v="296"/>
    <x v="7"/>
  </r>
  <r>
    <x v="0"/>
    <x v="37"/>
    <x v="37"/>
    <x v="9"/>
    <x v="9"/>
    <x v="9"/>
    <x v="7"/>
    <x v="327"/>
    <x v="435"/>
    <x v="114"/>
    <x v="477"/>
    <x v="228"/>
    <x v="316"/>
    <x v="7"/>
  </r>
  <r>
    <x v="0"/>
    <x v="37"/>
    <x v="37"/>
    <x v="8"/>
    <x v="8"/>
    <x v="8"/>
    <x v="9"/>
    <x v="157"/>
    <x v="300"/>
    <x v="90"/>
    <x v="478"/>
    <x v="149"/>
    <x v="324"/>
    <x v="7"/>
  </r>
  <r>
    <x v="0"/>
    <x v="37"/>
    <x v="37"/>
    <x v="12"/>
    <x v="12"/>
    <x v="12"/>
    <x v="10"/>
    <x v="293"/>
    <x v="45"/>
    <x v="83"/>
    <x v="183"/>
    <x v="236"/>
    <x v="249"/>
    <x v="7"/>
  </r>
  <r>
    <x v="0"/>
    <x v="37"/>
    <x v="37"/>
    <x v="13"/>
    <x v="13"/>
    <x v="13"/>
    <x v="11"/>
    <x v="315"/>
    <x v="407"/>
    <x v="70"/>
    <x v="479"/>
    <x v="176"/>
    <x v="296"/>
    <x v="7"/>
  </r>
  <r>
    <x v="0"/>
    <x v="37"/>
    <x v="37"/>
    <x v="2"/>
    <x v="2"/>
    <x v="2"/>
    <x v="12"/>
    <x v="328"/>
    <x v="422"/>
    <x v="48"/>
    <x v="480"/>
    <x v="226"/>
    <x v="151"/>
    <x v="1"/>
  </r>
  <r>
    <x v="0"/>
    <x v="37"/>
    <x v="37"/>
    <x v="7"/>
    <x v="7"/>
    <x v="7"/>
    <x v="13"/>
    <x v="290"/>
    <x v="99"/>
    <x v="94"/>
    <x v="481"/>
    <x v="164"/>
    <x v="418"/>
    <x v="1"/>
  </r>
  <r>
    <x v="0"/>
    <x v="37"/>
    <x v="37"/>
    <x v="39"/>
    <x v="39"/>
    <x v="39"/>
    <x v="14"/>
    <x v="319"/>
    <x v="16"/>
    <x v="84"/>
    <x v="72"/>
    <x v="223"/>
    <x v="250"/>
    <x v="7"/>
  </r>
  <r>
    <x v="0"/>
    <x v="37"/>
    <x v="37"/>
    <x v="22"/>
    <x v="22"/>
    <x v="22"/>
    <x v="14"/>
    <x v="319"/>
    <x v="16"/>
    <x v="117"/>
    <x v="135"/>
    <x v="176"/>
    <x v="296"/>
    <x v="7"/>
  </r>
  <r>
    <x v="0"/>
    <x v="37"/>
    <x v="37"/>
    <x v="15"/>
    <x v="15"/>
    <x v="15"/>
    <x v="16"/>
    <x v="329"/>
    <x v="219"/>
    <x v="52"/>
    <x v="76"/>
    <x v="146"/>
    <x v="96"/>
    <x v="7"/>
  </r>
  <r>
    <x v="0"/>
    <x v="37"/>
    <x v="37"/>
    <x v="40"/>
    <x v="40"/>
    <x v="40"/>
    <x v="17"/>
    <x v="330"/>
    <x v="436"/>
    <x v="48"/>
    <x v="480"/>
    <x v="229"/>
    <x v="9"/>
    <x v="7"/>
  </r>
  <r>
    <x v="0"/>
    <x v="37"/>
    <x v="37"/>
    <x v="19"/>
    <x v="19"/>
    <x v="19"/>
    <x v="18"/>
    <x v="331"/>
    <x v="437"/>
    <x v="84"/>
    <x v="72"/>
    <x v="164"/>
    <x v="418"/>
    <x v="7"/>
  </r>
  <r>
    <x v="0"/>
    <x v="37"/>
    <x v="37"/>
    <x v="20"/>
    <x v="20"/>
    <x v="20"/>
    <x v="18"/>
    <x v="331"/>
    <x v="437"/>
    <x v="57"/>
    <x v="482"/>
    <x v="146"/>
    <x v="96"/>
    <x v="1"/>
  </r>
  <r>
    <x v="0"/>
    <x v="38"/>
    <x v="38"/>
    <x v="1"/>
    <x v="1"/>
    <x v="1"/>
    <x v="0"/>
    <x v="324"/>
    <x v="102"/>
    <x v="208"/>
    <x v="483"/>
    <x v="74"/>
    <x v="132"/>
    <x v="7"/>
  </r>
  <r>
    <x v="0"/>
    <x v="38"/>
    <x v="38"/>
    <x v="0"/>
    <x v="0"/>
    <x v="0"/>
    <x v="1"/>
    <x v="332"/>
    <x v="56"/>
    <x v="156"/>
    <x v="484"/>
    <x v="107"/>
    <x v="282"/>
    <x v="7"/>
  </r>
  <r>
    <x v="0"/>
    <x v="38"/>
    <x v="38"/>
    <x v="2"/>
    <x v="2"/>
    <x v="2"/>
    <x v="2"/>
    <x v="179"/>
    <x v="438"/>
    <x v="150"/>
    <x v="485"/>
    <x v="79"/>
    <x v="4"/>
    <x v="7"/>
  </r>
  <r>
    <x v="0"/>
    <x v="38"/>
    <x v="38"/>
    <x v="8"/>
    <x v="8"/>
    <x v="8"/>
    <x v="3"/>
    <x v="50"/>
    <x v="308"/>
    <x v="48"/>
    <x v="259"/>
    <x v="130"/>
    <x v="423"/>
    <x v="7"/>
  </r>
  <r>
    <x v="0"/>
    <x v="38"/>
    <x v="38"/>
    <x v="4"/>
    <x v="4"/>
    <x v="4"/>
    <x v="4"/>
    <x v="204"/>
    <x v="439"/>
    <x v="74"/>
    <x v="422"/>
    <x v="209"/>
    <x v="424"/>
    <x v="7"/>
  </r>
  <r>
    <x v="0"/>
    <x v="38"/>
    <x v="38"/>
    <x v="5"/>
    <x v="5"/>
    <x v="5"/>
    <x v="5"/>
    <x v="67"/>
    <x v="440"/>
    <x v="104"/>
    <x v="486"/>
    <x v="181"/>
    <x v="425"/>
    <x v="7"/>
  </r>
  <r>
    <x v="0"/>
    <x v="38"/>
    <x v="38"/>
    <x v="6"/>
    <x v="6"/>
    <x v="6"/>
    <x v="6"/>
    <x v="53"/>
    <x v="441"/>
    <x v="153"/>
    <x v="487"/>
    <x v="172"/>
    <x v="95"/>
    <x v="1"/>
  </r>
  <r>
    <x v="0"/>
    <x v="38"/>
    <x v="38"/>
    <x v="3"/>
    <x v="3"/>
    <x v="3"/>
    <x v="7"/>
    <x v="183"/>
    <x v="442"/>
    <x v="154"/>
    <x v="488"/>
    <x v="158"/>
    <x v="426"/>
    <x v="7"/>
  </r>
  <r>
    <x v="0"/>
    <x v="38"/>
    <x v="38"/>
    <x v="9"/>
    <x v="9"/>
    <x v="9"/>
    <x v="8"/>
    <x v="57"/>
    <x v="443"/>
    <x v="149"/>
    <x v="368"/>
    <x v="236"/>
    <x v="427"/>
    <x v="7"/>
  </r>
  <r>
    <x v="0"/>
    <x v="38"/>
    <x v="38"/>
    <x v="10"/>
    <x v="10"/>
    <x v="10"/>
    <x v="9"/>
    <x v="161"/>
    <x v="78"/>
    <x v="106"/>
    <x v="212"/>
    <x v="144"/>
    <x v="234"/>
    <x v="7"/>
  </r>
  <r>
    <x v="0"/>
    <x v="38"/>
    <x v="38"/>
    <x v="11"/>
    <x v="11"/>
    <x v="11"/>
    <x v="10"/>
    <x v="163"/>
    <x v="10"/>
    <x v="148"/>
    <x v="266"/>
    <x v="136"/>
    <x v="374"/>
    <x v="7"/>
  </r>
  <r>
    <x v="0"/>
    <x v="38"/>
    <x v="38"/>
    <x v="15"/>
    <x v="15"/>
    <x v="15"/>
    <x v="11"/>
    <x v="156"/>
    <x v="143"/>
    <x v="81"/>
    <x v="80"/>
    <x v="144"/>
    <x v="234"/>
    <x v="7"/>
  </r>
  <r>
    <x v="0"/>
    <x v="38"/>
    <x v="38"/>
    <x v="18"/>
    <x v="18"/>
    <x v="18"/>
    <x v="12"/>
    <x v="167"/>
    <x v="97"/>
    <x v="53"/>
    <x v="190"/>
    <x v="136"/>
    <x v="374"/>
    <x v="7"/>
  </r>
  <r>
    <x v="0"/>
    <x v="38"/>
    <x v="38"/>
    <x v="41"/>
    <x v="41"/>
    <x v="41"/>
    <x v="13"/>
    <x v="146"/>
    <x v="444"/>
    <x v="67"/>
    <x v="115"/>
    <x v="144"/>
    <x v="234"/>
    <x v="7"/>
  </r>
  <r>
    <x v="0"/>
    <x v="38"/>
    <x v="38"/>
    <x v="7"/>
    <x v="7"/>
    <x v="7"/>
    <x v="14"/>
    <x v="147"/>
    <x v="36"/>
    <x v="105"/>
    <x v="222"/>
    <x v="216"/>
    <x v="428"/>
    <x v="7"/>
  </r>
  <r>
    <x v="0"/>
    <x v="38"/>
    <x v="38"/>
    <x v="14"/>
    <x v="14"/>
    <x v="14"/>
    <x v="15"/>
    <x v="333"/>
    <x v="145"/>
    <x v="57"/>
    <x v="54"/>
    <x v="45"/>
    <x v="429"/>
    <x v="7"/>
  </r>
  <r>
    <x v="0"/>
    <x v="38"/>
    <x v="38"/>
    <x v="16"/>
    <x v="16"/>
    <x v="16"/>
    <x v="16"/>
    <x v="287"/>
    <x v="375"/>
    <x v="65"/>
    <x v="57"/>
    <x v="145"/>
    <x v="105"/>
    <x v="7"/>
  </r>
  <r>
    <x v="0"/>
    <x v="38"/>
    <x v="38"/>
    <x v="13"/>
    <x v="13"/>
    <x v="13"/>
    <x v="16"/>
    <x v="287"/>
    <x v="375"/>
    <x v="90"/>
    <x v="187"/>
    <x v="176"/>
    <x v="305"/>
    <x v="7"/>
  </r>
  <r>
    <x v="0"/>
    <x v="38"/>
    <x v="38"/>
    <x v="21"/>
    <x v="21"/>
    <x v="21"/>
    <x v="18"/>
    <x v="317"/>
    <x v="342"/>
    <x v="70"/>
    <x v="86"/>
    <x v="216"/>
    <x v="428"/>
    <x v="7"/>
  </r>
  <r>
    <x v="0"/>
    <x v="38"/>
    <x v="38"/>
    <x v="22"/>
    <x v="22"/>
    <x v="22"/>
    <x v="18"/>
    <x v="317"/>
    <x v="342"/>
    <x v="117"/>
    <x v="135"/>
    <x v="172"/>
    <x v="95"/>
    <x v="7"/>
  </r>
  <r>
    <x v="0"/>
    <x v="39"/>
    <x v="39"/>
    <x v="1"/>
    <x v="1"/>
    <x v="1"/>
    <x v="0"/>
    <x v="279"/>
    <x v="239"/>
    <x v="199"/>
    <x v="489"/>
    <x v="144"/>
    <x v="154"/>
    <x v="7"/>
  </r>
  <r>
    <x v="0"/>
    <x v="39"/>
    <x v="39"/>
    <x v="2"/>
    <x v="2"/>
    <x v="2"/>
    <x v="1"/>
    <x v="284"/>
    <x v="400"/>
    <x v="35"/>
    <x v="490"/>
    <x v="92"/>
    <x v="430"/>
    <x v="7"/>
  </r>
  <r>
    <x v="0"/>
    <x v="39"/>
    <x v="39"/>
    <x v="0"/>
    <x v="0"/>
    <x v="0"/>
    <x v="2"/>
    <x v="264"/>
    <x v="445"/>
    <x v="249"/>
    <x v="491"/>
    <x v="172"/>
    <x v="44"/>
    <x v="7"/>
  </r>
  <r>
    <x v="0"/>
    <x v="39"/>
    <x v="39"/>
    <x v="4"/>
    <x v="4"/>
    <x v="4"/>
    <x v="3"/>
    <x v="49"/>
    <x v="446"/>
    <x v="83"/>
    <x v="130"/>
    <x v="156"/>
    <x v="431"/>
    <x v="7"/>
  </r>
  <r>
    <x v="0"/>
    <x v="39"/>
    <x v="39"/>
    <x v="3"/>
    <x v="3"/>
    <x v="3"/>
    <x v="4"/>
    <x v="266"/>
    <x v="447"/>
    <x v="145"/>
    <x v="492"/>
    <x v="71"/>
    <x v="197"/>
    <x v="1"/>
  </r>
  <r>
    <x v="0"/>
    <x v="39"/>
    <x v="39"/>
    <x v="5"/>
    <x v="5"/>
    <x v="5"/>
    <x v="5"/>
    <x v="53"/>
    <x v="373"/>
    <x v="83"/>
    <x v="130"/>
    <x v="100"/>
    <x v="245"/>
    <x v="7"/>
  </r>
  <r>
    <x v="0"/>
    <x v="39"/>
    <x v="39"/>
    <x v="6"/>
    <x v="6"/>
    <x v="6"/>
    <x v="6"/>
    <x v="87"/>
    <x v="122"/>
    <x v="250"/>
    <x v="493"/>
    <x v="171"/>
    <x v="338"/>
    <x v="4"/>
  </r>
  <r>
    <x v="0"/>
    <x v="39"/>
    <x v="39"/>
    <x v="8"/>
    <x v="8"/>
    <x v="8"/>
    <x v="7"/>
    <x v="142"/>
    <x v="448"/>
    <x v="90"/>
    <x v="112"/>
    <x v="88"/>
    <x v="323"/>
    <x v="7"/>
  </r>
  <r>
    <x v="0"/>
    <x v="39"/>
    <x v="39"/>
    <x v="16"/>
    <x v="16"/>
    <x v="16"/>
    <x v="8"/>
    <x v="90"/>
    <x v="449"/>
    <x v="131"/>
    <x v="494"/>
    <x v="80"/>
    <x v="87"/>
    <x v="7"/>
  </r>
  <r>
    <x v="0"/>
    <x v="39"/>
    <x v="39"/>
    <x v="15"/>
    <x v="15"/>
    <x v="15"/>
    <x v="9"/>
    <x v="162"/>
    <x v="313"/>
    <x v="90"/>
    <x v="112"/>
    <x v="143"/>
    <x v="26"/>
    <x v="7"/>
  </r>
  <r>
    <x v="0"/>
    <x v="39"/>
    <x v="39"/>
    <x v="9"/>
    <x v="9"/>
    <x v="9"/>
    <x v="10"/>
    <x v="217"/>
    <x v="450"/>
    <x v="134"/>
    <x v="495"/>
    <x v="228"/>
    <x v="216"/>
    <x v="7"/>
  </r>
  <r>
    <x v="0"/>
    <x v="39"/>
    <x v="39"/>
    <x v="10"/>
    <x v="10"/>
    <x v="10"/>
    <x v="11"/>
    <x v="199"/>
    <x v="61"/>
    <x v="83"/>
    <x v="130"/>
    <x v="147"/>
    <x v="432"/>
    <x v="7"/>
  </r>
  <r>
    <x v="0"/>
    <x v="39"/>
    <x v="39"/>
    <x v="11"/>
    <x v="11"/>
    <x v="11"/>
    <x v="12"/>
    <x v="166"/>
    <x v="451"/>
    <x v="83"/>
    <x v="130"/>
    <x v="214"/>
    <x v="329"/>
    <x v="7"/>
  </r>
  <r>
    <x v="0"/>
    <x v="39"/>
    <x v="39"/>
    <x v="7"/>
    <x v="7"/>
    <x v="7"/>
    <x v="13"/>
    <x v="168"/>
    <x v="233"/>
    <x v="138"/>
    <x v="496"/>
    <x v="224"/>
    <x v="433"/>
    <x v="7"/>
  </r>
  <r>
    <x v="0"/>
    <x v="39"/>
    <x v="39"/>
    <x v="13"/>
    <x v="13"/>
    <x v="13"/>
    <x v="14"/>
    <x v="272"/>
    <x v="97"/>
    <x v="107"/>
    <x v="341"/>
    <x v="216"/>
    <x v="434"/>
    <x v="7"/>
  </r>
  <r>
    <x v="0"/>
    <x v="39"/>
    <x v="39"/>
    <x v="12"/>
    <x v="12"/>
    <x v="12"/>
    <x v="15"/>
    <x v="293"/>
    <x v="381"/>
    <x v="94"/>
    <x v="497"/>
    <x v="171"/>
    <x v="338"/>
    <x v="7"/>
  </r>
  <r>
    <x v="0"/>
    <x v="39"/>
    <x v="39"/>
    <x v="19"/>
    <x v="19"/>
    <x v="19"/>
    <x v="16"/>
    <x v="316"/>
    <x v="69"/>
    <x v="70"/>
    <x v="498"/>
    <x v="227"/>
    <x v="435"/>
    <x v="7"/>
  </r>
  <r>
    <x v="0"/>
    <x v="39"/>
    <x v="39"/>
    <x v="30"/>
    <x v="30"/>
    <x v="30"/>
    <x v="17"/>
    <x v="328"/>
    <x v="324"/>
    <x v="64"/>
    <x v="178"/>
    <x v="66"/>
    <x v="179"/>
    <x v="7"/>
  </r>
  <r>
    <x v="0"/>
    <x v="39"/>
    <x v="39"/>
    <x v="14"/>
    <x v="14"/>
    <x v="14"/>
    <x v="17"/>
    <x v="328"/>
    <x v="324"/>
    <x v="54"/>
    <x v="18"/>
    <x v="140"/>
    <x v="357"/>
    <x v="7"/>
  </r>
  <r>
    <x v="0"/>
    <x v="39"/>
    <x v="39"/>
    <x v="18"/>
    <x v="18"/>
    <x v="18"/>
    <x v="19"/>
    <x v="289"/>
    <x v="343"/>
    <x v="54"/>
    <x v="18"/>
    <x v="190"/>
    <x v="50"/>
    <x v="7"/>
  </r>
  <r>
    <x v="0"/>
    <x v="39"/>
    <x v="39"/>
    <x v="17"/>
    <x v="17"/>
    <x v="17"/>
    <x v="19"/>
    <x v="289"/>
    <x v="343"/>
    <x v="57"/>
    <x v="392"/>
    <x v="172"/>
    <x v="44"/>
    <x v="7"/>
  </r>
  <r>
    <x v="0"/>
    <x v="40"/>
    <x v="40"/>
    <x v="1"/>
    <x v="1"/>
    <x v="1"/>
    <x v="0"/>
    <x v="63"/>
    <x v="452"/>
    <x v="165"/>
    <x v="499"/>
    <x v="140"/>
    <x v="436"/>
    <x v="7"/>
  </r>
  <r>
    <x v="0"/>
    <x v="40"/>
    <x v="40"/>
    <x v="0"/>
    <x v="0"/>
    <x v="0"/>
    <x v="1"/>
    <x v="84"/>
    <x v="453"/>
    <x v="77"/>
    <x v="500"/>
    <x v="227"/>
    <x v="58"/>
    <x v="7"/>
  </r>
  <r>
    <x v="0"/>
    <x v="40"/>
    <x v="40"/>
    <x v="2"/>
    <x v="2"/>
    <x v="2"/>
    <x v="2"/>
    <x v="102"/>
    <x v="454"/>
    <x v="122"/>
    <x v="46"/>
    <x v="98"/>
    <x v="437"/>
    <x v="7"/>
  </r>
  <r>
    <x v="0"/>
    <x v="40"/>
    <x v="40"/>
    <x v="5"/>
    <x v="5"/>
    <x v="5"/>
    <x v="3"/>
    <x v="54"/>
    <x v="455"/>
    <x v="74"/>
    <x v="381"/>
    <x v="135"/>
    <x v="438"/>
    <x v="7"/>
  </r>
  <r>
    <x v="0"/>
    <x v="40"/>
    <x v="40"/>
    <x v="8"/>
    <x v="8"/>
    <x v="8"/>
    <x v="3"/>
    <x v="54"/>
    <x v="455"/>
    <x v="94"/>
    <x v="501"/>
    <x v="111"/>
    <x v="439"/>
    <x v="7"/>
  </r>
  <r>
    <x v="0"/>
    <x v="40"/>
    <x v="40"/>
    <x v="3"/>
    <x v="3"/>
    <x v="3"/>
    <x v="5"/>
    <x v="70"/>
    <x v="456"/>
    <x v="162"/>
    <x v="361"/>
    <x v="136"/>
    <x v="275"/>
    <x v="7"/>
  </r>
  <r>
    <x v="0"/>
    <x v="40"/>
    <x v="40"/>
    <x v="4"/>
    <x v="4"/>
    <x v="4"/>
    <x v="6"/>
    <x v="89"/>
    <x v="457"/>
    <x v="56"/>
    <x v="422"/>
    <x v="97"/>
    <x v="440"/>
    <x v="7"/>
  </r>
  <r>
    <x v="0"/>
    <x v="40"/>
    <x v="40"/>
    <x v="6"/>
    <x v="6"/>
    <x v="6"/>
    <x v="7"/>
    <x v="162"/>
    <x v="458"/>
    <x v="136"/>
    <x v="502"/>
    <x v="237"/>
    <x v="64"/>
    <x v="7"/>
  </r>
  <r>
    <x v="0"/>
    <x v="40"/>
    <x v="40"/>
    <x v="9"/>
    <x v="9"/>
    <x v="9"/>
    <x v="8"/>
    <x v="163"/>
    <x v="24"/>
    <x v="240"/>
    <x v="503"/>
    <x v="224"/>
    <x v="80"/>
    <x v="7"/>
  </r>
  <r>
    <x v="0"/>
    <x v="40"/>
    <x v="40"/>
    <x v="11"/>
    <x v="11"/>
    <x v="11"/>
    <x v="9"/>
    <x v="157"/>
    <x v="380"/>
    <x v="114"/>
    <x v="344"/>
    <x v="225"/>
    <x v="441"/>
    <x v="1"/>
  </r>
  <r>
    <x v="0"/>
    <x v="40"/>
    <x v="40"/>
    <x v="10"/>
    <x v="10"/>
    <x v="10"/>
    <x v="10"/>
    <x v="333"/>
    <x v="459"/>
    <x v="69"/>
    <x v="68"/>
    <x v="146"/>
    <x v="91"/>
    <x v="7"/>
  </r>
  <r>
    <x v="0"/>
    <x v="40"/>
    <x v="40"/>
    <x v="7"/>
    <x v="7"/>
    <x v="7"/>
    <x v="11"/>
    <x v="315"/>
    <x v="80"/>
    <x v="56"/>
    <x v="422"/>
    <x v="235"/>
    <x v="129"/>
    <x v="7"/>
  </r>
  <r>
    <x v="0"/>
    <x v="40"/>
    <x v="40"/>
    <x v="21"/>
    <x v="21"/>
    <x v="21"/>
    <x v="12"/>
    <x v="290"/>
    <x v="184"/>
    <x v="53"/>
    <x v="337"/>
    <x v="237"/>
    <x v="64"/>
    <x v="7"/>
  </r>
  <r>
    <x v="0"/>
    <x v="40"/>
    <x v="40"/>
    <x v="22"/>
    <x v="22"/>
    <x v="22"/>
    <x v="13"/>
    <x v="318"/>
    <x v="245"/>
    <x v="117"/>
    <x v="135"/>
    <x v="216"/>
    <x v="0"/>
    <x v="7"/>
  </r>
  <r>
    <x v="0"/>
    <x v="40"/>
    <x v="40"/>
    <x v="12"/>
    <x v="12"/>
    <x v="12"/>
    <x v="14"/>
    <x v="291"/>
    <x v="81"/>
    <x v="123"/>
    <x v="504"/>
    <x v="236"/>
    <x v="442"/>
    <x v="7"/>
  </r>
  <r>
    <x v="0"/>
    <x v="40"/>
    <x v="40"/>
    <x v="13"/>
    <x v="13"/>
    <x v="13"/>
    <x v="15"/>
    <x v="319"/>
    <x v="247"/>
    <x v="48"/>
    <x v="272"/>
    <x v="235"/>
    <x v="129"/>
    <x v="7"/>
  </r>
  <r>
    <x v="0"/>
    <x v="40"/>
    <x v="40"/>
    <x v="20"/>
    <x v="20"/>
    <x v="20"/>
    <x v="15"/>
    <x v="319"/>
    <x v="247"/>
    <x v="57"/>
    <x v="482"/>
    <x v="216"/>
    <x v="0"/>
    <x v="7"/>
  </r>
  <r>
    <x v="0"/>
    <x v="40"/>
    <x v="40"/>
    <x v="17"/>
    <x v="17"/>
    <x v="17"/>
    <x v="17"/>
    <x v="329"/>
    <x v="220"/>
    <x v="48"/>
    <x v="272"/>
    <x v="237"/>
    <x v="64"/>
    <x v="7"/>
  </r>
  <r>
    <x v="0"/>
    <x v="40"/>
    <x v="40"/>
    <x v="18"/>
    <x v="18"/>
    <x v="18"/>
    <x v="18"/>
    <x v="320"/>
    <x v="429"/>
    <x v="67"/>
    <x v="338"/>
    <x v="226"/>
    <x v="246"/>
    <x v="7"/>
  </r>
  <r>
    <x v="0"/>
    <x v="40"/>
    <x v="40"/>
    <x v="19"/>
    <x v="19"/>
    <x v="19"/>
    <x v="18"/>
    <x v="320"/>
    <x v="429"/>
    <x v="64"/>
    <x v="206"/>
    <x v="235"/>
    <x v="129"/>
    <x v="7"/>
  </r>
  <r>
    <x v="0"/>
    <x v="41"/>
    <x v="41"/>
    <x v="1"/>
    <x v="1"/>
    <x v="1"/>
    <x v="0"/>
    <x v="67"/>
    <x v="263"/>
    <x v="113"/>
    <x v="505"/>
    <x v="227"/>
    <x v="443"/>
    <x v="7"/>
  </r>
  <r>
    <x v="0"/>
    <x v="41"/>
    <x v="41"/>
    <x v="0"/>
    <x v="0"/>
    <x v="0"/>
    <x v="1"/>
    <x v="266"/>
    <x v="460"/>
    <x v="63"/>
    <x v="42"/>
    <x v="66"/>
    <x v="154"/>
    <x v="7"/>
  </r>
  <r>
    <x v="0"/>
    <x v="41"/>
    <x v="41"/>
    <x v="3"/>
    <x v="3"/>
    <x v="3"/>
    <x v="2"/>
    <x v="141"/>
    <x v="22"/>
    <x v="96"/>
    <x v="506"/>
    <x v="142"/>
    <x v="444"/>
    <x v="7"/>
  </r>
  <r>
    <x v="0"/>
    <x v="41"/>
    <x v="41"/>
    <x v="2"/>
    <x v="2"/>
    <x v="2"/>
    <x v="3"/>
    <x v="334"/>
    <x v="402"/>
    <x v="94"/>
    <x v="31"/>
    <x v="88"/>
    <x v="445"/>
    <x v="7"/>
  </r>
  <r>
    <x v="0"/>
    <x v="41"/>
    <x v="41"/>
    <x v="4"/>
    <x v="4"/>
    <x v="4"/>
    <x v="4"/>
    <x v="154"/>
    <x v="298"/>
    <x v="54"/>
    <x v="507"/>
    <x v="143"/>
    <x v="446"/>
    <x v="7"/>
  </r>
  <r>
    <x v="0"/>
    <x v="41"/>
    <x v="41"/>
    <x v="6"/>
    <x v="6"/>
    <x v="6"/>
    <x v="5"/>
    <x v="223"/>
    <x v="251"/>
    <x v="138"/>
    <x v="508"/>
    <x v="227"/>
    <x v="443"/>
    <x v="7"/>
  </r>
  <r>
    <x v="0"/>
    <x v="41"/>
    <x v="41"/>
    <x v="12"/>
    <x v="12"/>
    <x v="12"/>
    <x v="6"/>
    <x v="146"/>
    <x v="139"/>
    <x v="92"/>
    <x v="11"/>
    <x v="140"/>
    <x v="229"/>
    <x v="7"/>
  </r>
  <r>
    <x v="0"/>
    <x v="41"/>
    <x v="41"/>
    <x v="11"/>
    <x v="11"/>
    <x v="11"/>
    <x v="7"/>
    <x v="272"/>
    <x v="435"/>
    <x v="148"/>
    <x v="315"/>
    <x v="226"/>
    <x v="105"/>
    <x v="7"/>
  </r>
  <r>
    <x v="0"/>
    <x v="41"/>
    <x v="41"/>
    <x v="5"/>
    <x v="5"/>
    <x v="5"/>
    <x v="8"/>
    <x v="287"/>
    <x v="111"/>
    <x v="53"/>
    <x v="117"/>
    <x v="81"/>
    <x v="116"/>
    <x v="7"/>
  </r>
  <r>
    <x v="0"/>
    <x v="41"/>
    <x v="41"/>
    <x v="9"/>
    <x v="9"/>
    <x v="9"/>
    <x v="8"/>
    <x v="287"/>
    <x v="111"/>
    <x v="106"/>
    <x v="509"/>
    <x v="238"/>
    <x v="447"/>
    <x v="7"/>
  </r>
  <r>
    <x v="0"/>
    <x v="41"/>
    <x v="41"/>
    <x v="10"/>
    <x v="10"/>
    <x v="10"/>
    <x v="10"/>
    <x v="317"/>
    <x v="279"/>
    <x v="56"/>
    <x v="299"/>
    <x v="223"/>
    <x v="135"/>
    <x v="7"/>
  </r>
  <r>
    <x v="0"/>
    <x v="41"/>
    <x v="41"/>
    <x v="7"/>
    <x v="7"/>
    <x v="7"/>
    <x v="11"/>
    <x v="314"/>
    <x v="428"/>
    <x v="123"/>
    <x v="510"/>
    <x v="176"/>
    <x v="97"/>
    <x v="7"/>
  </r>
  <r>
    <x v="0"/>
    <x v="41"/>
    <x v="41"/>
    <x v="8"/>
    <x v="8"/>
    <x v="8"/>
    <x v="12"/>
    <x v="315"/>
    <x v="461"/>
    <x v="53"/>
    <x v="117"/>
    <x v="214"/>
    <x v="448"/>
    <x v="7"/>
  </r>
  <r>
    <x v="0"/>
    <x v="41"/>
    <x v="41"/>
    <x v="13"/>
    <x v="13"/>
    <x v="13"/>
    <x v="13"/>
    <x v="335"/>
    <x v="282"/>
    <x v="84"/>
    <x v="118"/>
    <x v="224"/>
    <x v="12"/>
    <x v="7"/>
  </r>
  <r>
    <x v="0"/>
    <x v="41"/>
    <x v="41"/>
    <x v="15"/>
    <x v="15"/>
    <x v="15"/>
    <x v="14"/>
    <x v="320"/>
    <x v="462"/>
    <x v="53"/>
    <x v="117"/>
    <x v="224"/>
    <x v="12"/>
    <x v="7"/>
  </r>
  <r>
    <x v="0"/>
    <x v="41"/>
    <x v="41"/>
    <x v="16"/>
    <x v="16"/>
    <x v="16"/>
    <x v="14"/>
    <x v="320"/>
    <x v="462"/>
    <x v="67"/>
    <x v="145"/>
    <x v="226"/>
    <x v="105"/>
    <x v="7"/>
  </r>
  <r>
    <x v="0"/>
    <x v="41"/>
    <x v="41"/>
    <x v="21"/>
    <x v="21"/>
    <x v="21"/>
    <x v="14"/>
    <x v="320"/>
    <x v="462"/>
    <x v="81"/>
    <x v="222"/>
    <x v="228"/>
    <x v="92"/>
    <x v="7"/>
  </r>
  <r>
    <x v="0"/>
    <x v="41"/>
    <x v="41"/>
    <x v="30"/>
    <x v="30"/>
    <x v="30"/>
    <x v="17"/>
    <x v="321"/>
    <x v="207"/>
    <x v="67"/>
    <x v="145"/>
    <x v="223"/>
    <x v="135"/>
    <x v="7"/>
  </r>
  <r>
    <x v="0"/>
    <x v="41"/>
    <x v="41"/>
    <x v="19"/>
    <x v="19"/>
    <x v="19"/>
    <x v="17"/>
    <x v="321"/>
    <x v="207"/>
    <x v="65"/>
    <x v="54"/>
    <x v="227"/>
    <x v="443"/>
    <x v="7"/>
  </r>
  <r>
    <x v="0"/>
    <x v="41"/>
    <x v="41"/>
    <x v="14"/>
    <x v="14"/>
    <x v="14"/>
    <x v="19"/>
    <x v="336"/>
    <x v="68"/>
    <x v="65"/>
    <x v="54"/>
    <x v="226"/>
    <x v="105"/>
    <x v="7"/>
  </r>
  <r>
    <x v="0"/>
    <x v="42"/>
    <x v="42"/>
    <x v="1"/>
    <x v="1"/>
    <x v="1"/>
    <x v="0"/>
    <x v="186"/>
    <x v="463"/>
    <x v="165"/>
    <x v="424"/>
    <x v="45"/>
    <x v="27"/>
    <x v="7"/>
  </r>
  <r>
    <x v="0"/>
    <x v="42"/>
    <x v="42"/>
    <x v="2"/>
    <x v="2"/>
    <x v="2"/>
    <x v="1"/>
    <x v="264"/>
    <x v="464"/>
    <x v="135"/>
    <x v="511"/>
    <x v="167"/>
    <x v="449"/>
    <x v="7"/>
  </r>
  <r>
    <x v="0"/>
    <x v="42"/>
    <x v="42"/>
    <x v="0"/>
    <x v="0"/>
    <x v="0"/>
    <x v="2"/>
    <x v="270"/>
    <x v="288"/>
    <x v="35"/>
    <x v="512"/>
    <x v="190"/>
    <x v="30"/>
    <x v="7"/>
  </r>
  <r>
    <x v="0"/>
    <x v="42"/>
    <x v="42"/>
    <x v="4"/>
    <x v="4"/>
    <x v="4"/>
    <x v="3"/>
    <x v="120"/>
    <x v="417"/>
    <x v="48"/>
    <x v="429"/>
    <x v="50"/>
    <x v="450"/>
    <x v="7"/>
  </r>
  <r>
    <x v="0"/>
    <x v="42"/>
    <x v="42"/>
    <x v="6"/>
    <x v="6"/>
    <x v="6"/>
    <x v="4"/>
    <x v="211"/>
    <x v="307"/>
    <x v="130"/>
    <x v="513"/>
    <x v="190"/>
    <x v="30"/>
    <x v="7"/>
  </r>
  <r>
    <x v="0"/>
    <x v="42"/>
    <x v="42"/>
    <x v="3"/>
    <x v="3"/>
    <x v="3"/>
    <x v="5"/>
    <x v="56"/>
    <x v="298"/>
    <x v="154"/>
    <x v="514"/>
    <x v="150"/>
    <x v="451"/>
    <x v="7"/>
  </r>
  <r>
    <x v="0"/>
    <x v="42"/>
    <x v="42"/>
    <x v="8"/>
    <x v="8"/>
    <x v="8"/>
    <x v="6"/>
    <x v="141"/>
    <x v="73"/>
    <x v="84"/>
    <x v="402"/>
    <x v="181"/>
    <x v="452"/>
    <x v="7"/>
  </r>
  <r>
    <x v="0"/>
    <x v="42"/>
    <x v="42"/>
    <x v="5"/>
    <x v="5"/>
    <x v="5"/>
    <x v="7"/>
    <x v="334"/>
    <x v="319"/>
    <x v="74"/>
    <x v="515"/>
    <x v="74"/>
    <x v="453"/>
    <x v="7"/>
  </r>
  <r>
    <x v="0"/>
    <x v="42"/>
    <x v="42"/>
    <x v="9"/>
    <x v="9"/>
    <x v="9"/>
    <x v="8"/>
    <x v="161"/>
    <x v="465"/>
    <x v="149"/>
    <x v="516"/>
    <x v="164"/>
    <x v="216"/>
    <x v="7"/>
  </r>
  <r>
    <x v="0"/>
    <x v="42"/>
    <x v="42"/>
    <x v="7"/>
    <x v="7"/>
    <x v="7"/>
    <x v="9"/>
    <x v="58"/>
    <x v="466"/>
    <x v="66"/>
    <x v="517"/>
    <x v="216"/>
    <x v="357"/>
    <x v="1"/>
  </r>
  <r>
    <x v="0"/>
    <x v="42"/>
    <x v="42"/>
    <x v="10"/>
    <x v="10"/>
    <x v="10"/>
    <x v="10"/>
    <x v="154"/>
    <x v="292"/>
    <x v="94"/>
    <x v="518"/>
    <x v="45"/>
    <x v="27"/>
    <x v="7"/>
  </r>
  <r>
    <x v="0"/>
    <x v="42"/>
    <x v="42"/>
    <x v="13"/>
    <x v="13"/>
    <x v="13"/>
    <x v="11"/>
    <x v="327"/>
    <x v="428"/>
    <x v="94"/>
    <x v="518"/>
    <x v="149"/>
    <x v="139"/>
    <x v="7"/>
  </r>
  <r>
    <x v="0"/>
    <x v="42"/>
    <x v="42"/>
    <x v="19"/>
    <x v="19"/>
    <x v="19"/>
    <x v="12"/>
    <x v="314"/>
    <x v="100"/>
    <x v="53"/>
    <x v="519"/>
    <x v="138"/>
    <x v="377"/>
    <x v="7"/>
  </r>
  <r>
    <x v="0"/>
    <x v="42"/>
    <x v="42"/>
    <x v="22"/>
    <x v="22"/>
    <x v="22"/>
    <x v="13"/>
    <x v="316"/>
    <x v="394"/>
    <x v="65"/>
    <x v="320"/>
    <x v="81"/>
    <x v="14"/>
    <x v="7"/>
  </r>
  <r>
    <x v="0"/>
    <x v="42"/>
    <x v="42"/>
    <x v="11"/>
    <x v="11"/>
    <x v="11"/>
    <x v="14"/>
    <x v="289"/>
    <x v="194"/>
    <x v="51"/>
    <x v="389"/>
    <x v="146"/>
    <x v="454"/>
    <x v="7"/>
  </r>
  <r>
    <x v="0"/>
    <x v="42"/>
    <x v="42"/>
    <x v="17"/>
    <x v="17"/>
    <x v="17"/>
    <x v="15"/>
    <x v="318"/>
    <x v="53"/>
    <x v="84"/>
    <x v="402"/>
    <x v="227"/>
    <x v="455"/>
    <x v="7"/>
  </r>
  <r>
    <x v="0"/>
    <x v="42"/>
    <x v="42"/>
    <x v="16"/>
    <x v="16"/>
    <x v="16"/>
    <x v="16"/>
    <x v="291"/>
    <x v="220"/>
    <x v="53"/>
    <x v="519"/>
    <x v="176"/>
    <x v="129"/>
    <x v="7"/>
  </r>
  <r>
    <x v="0"/>
    <x v="42"/>
    <x v="42"/>
    <x v="20"/>
    <x v="20"/>
    <x v="20"/>
    <x v="17"/>
    <x v="319"/>
    <x v="343"/>
    <x v="67"/>
    <x v="30"/>
    <x v="171"/>
    <x v="252"/>
    <x v="7"/>
  </r>
  <r>
    <x v="0"/>
    <x v="42"/>
    <x v="42"/>
    <x v="15"/>
    <x v="15"/>
    <x v="15"/>
    <x v="18"/>
    <x v="335"/>
    <x v="467"/>
    <x v="48"/>
    <x v="429"/>
    <x v="146"/>
    <x v="454"/>
    <x v="7"/>
  </r>
  <r>
    <x v="0"/>
    <x v="42"/>
    <x v="42"/>
    <x v="18"/>
    <x v="18"/>
    <x v="18"/>
    <x v="18"/>
    <x v="335"/>
    <x v="467"/>
    <x v="65"/>
    <x v="320"/>
    <x v="216"/>
    <x v="357"/>
    <x v="7"/>
  </r>
  <r>
    <x v="0"/>
    <x v="42"/>
    <x v="42"/>
    <x v="14"/>
    <x v="14"/>
    <x v="14"/>
    <x v="18"/>
    <x v="335"/>
    <x v="467"/>
    <x v="117"/>
    <x v="135"/>
    <x v="66"/>
    <x v="306"/>
    <x v="7"/>
  </r>
  <r>
    <x v="0"/>
    <x v="43"/>
    <x v="43"/>
    <x v="1"/>
    <x v="1"/>
    <x v="1"/>
    <x v="0"/>
    <x v="105"/>
    <x v="468"/>
    <x v="211"/>
    <x v="520"/>
    <x v="146"/>
    <x v="248"/>
    <x v="7"/>
  </r>
  <r>
    <x v="0"/>
    <x v="43"/>
    <x v="43"/>
    <x v="0"/>
    <x v="0"/>
    <x v="0"/>
    <x v="1"/>
    <x v="91"/>
    <x v="469"/>
    <x v="135"/>
    <x v="521"/>
    <x v="146"/>
    <x v="248"/>
    <x v="7"/>
  </r>
  <r>
    <x v="0"/>
    <x v="43"/>
    <x v="43"/>
    <x v="2"/>
    <x v="2"/>
    <x v="2"/>
    <x v="2"/>
    <x v="162"/>
    <x v="470"/>
    <x v="148"/>
    <x v="285"/>
    <x v="150"/>
    <x v="431"/>
    <x v="7"/>
  </r>
  <r>
    <x v="0"/>
    <x v="43"/>
    <x v="43"/>
    <x v="32"/>
    <x v="32"/>
    <x v="32"/>
    <x v="3"/>
    <x v="74"/>
    <x v="471"/>
    <x v="107"/>
    <x v="273"/>
    <x v="142"/>
    <x v="456"/>
    <x v="7"/>
  </r>
  <r>
    <x v="0"/>
    <x v="43"/>
    <x v="43"/>
    <x v="4"/>
    <x v="4"/>
    <x v="4"/>
    <x v="4"/>
    <x v="58"/>
    <x v="224"/>
    <x v="107"/>
    <x v="273"/>
    <x v="148"/>
    <x v="457"/>
    <x v="7"/>
  </r>
  <r>
    <x v="0"/>
    <x v="43"/>
    <x v="43"/>
    <x v="3"/>
    <x v="3"/>
    <x v="3"/>
    <x v="5"/>
    <x v="165"/>
    <x v="472"/>
    <x v="124"/>
    <x v="522"/>
    <x v="66"/>
    <x v="195"/>
    <x v="7"/>
  </r>
  <r>
    <x v="0"/>
    <x v="43"/>
    <x v="43"/>
    <x v="6"/>
    <x v="6"/>
    <x v="6"/>
    <x v="5"/>
    <x v="165"/>
    <x v="472"/>
    <x v="114"/>
    <x v="447"/>
    <x v="235"/>
    <x v="93"/>
    <x v="1"/>
  </r>
  <r>
    <x v="0"/>
    <x v="43"/>
    <x v="43"/>
    <x v="10"/>
    <x v="10"/>
    <x v="10"/>
    <x v="7"/>
    <x v="147"/>
    <x v="427"/>
    <x v="69"/>
    <x v="399"/>
    <x v="224"/>
    <x v="14"/>
    <x v="7"/>
  </r>
  <r>
    <x v="0"/>
    <x v="43"/>
    <x v="43"/>
    <x v="8"/>
    <x v="8"/>
    <x v="8"/>
    <x v="8"/>
    <x v="292"/>
    <x v="163"/>
    <x v="123"/>
    <x v="523"/>
    <x v="140"/>
    <x v="380"/>
    <x v="7"/>
  </r>
  <r>
    <x v="0"/>
    <x v="43"/>
    <x v="43"/>
    <x v="5"/>
    <x v="5"/>
    <x v="5"/>
    <x v="9"/>
    <x v="293"/>
    <x v="331"/>
    <x v="90"/>
    <x v="524"/>
    <x v="216"/>
    <x v="458"/>
    <x v="7"/>
  </r>
  <r>
    <x v="0"/>
    <x v="43"/>
    <x v="43"/>
    <x v="11"/>
    <x v="11"/>
    <x v="11"/>
    <x v="9"/>
    <x v="293"/>
    <x v="331"/>
    <x v="55"/>
    <x v="271"/>
    <x v="235"/>
    <x v="93"/>
    <x v="1"/>
  </r>
  <r>
    <x v="0"/>
    <x v="43"/>
    <x v="43"/>
    <x v="9"/>
    <x v="9"/>
    <x v="9"/>
    <x v="11"/>
    <x v="288"/>
    <x v="352"/>
    <x v="74"/>
    <x v="525"/>
    <x v="229"/>
    <x v="459"/>
    <x v="7"/>
  </r>
  <r>
    <x v="0"/>
    <x v="43"/>
    <x v="43"/>
    <x v="16"/>
    <x v="16"/>
    <x v="16"/>
    <x v="12"/>
    <x v="328"/>
    <x v="231"/>
    <x v="84"/>
    <x v="120"/>
    <x v="216"/>
    <x v="458"/>
    <x v="7"/>
  </r>
  <r>
    <x v="0"/>
    <x v="43"/>
    <x v="43"/>
    <x v="7"/>
    <x v="7"/>
    <x v="7"/>
    <x v="13"/>
    <x v="291"/>
    <x v="205"/>
    <x v="90"/>
    <x v="524"/>
    <x v="164"/>
    <x v="209"/>
    <x v="7"/>
  </r>
  <r>
    <x v="0"/>
    <x v="43"/>
    <x v="43"/>
    <x v="15"/>
    <x v="15"/>
    <x v="15"/>
    <x v="14"/>
    <x v="335"/>
    <x v="128"/>
    <x v="81"/>
    <x v="32"/>
    <x v="237"/>
    <x v="153"/>
    <x v="7"/>
  </r>
  <r>
    <x v="0"/>
    <x v="43"/>
    <x v="43"/>
    <x v="18"/>
    <x v="18"/>
    <x v="18"/>
    <x v="15"/>
    <x v="336"/>
    <x v="52"/>
    <x v="53"/>
    <x v="39"/>
    <x v="146"/>
    <x v="248"/>
    <x v="7"/>
  </r>
  <r>
    <x v="0"/>
    <x v="43"/>
    <x v="43"/>
    <x v="13"/>
    <x v="13"/>
    <x v="13"/>
    <x v="15"/>
    <x v="336"/>
    <x v="52"/>
    <x v="131"/>
    <x v="526"/>
    <x v="229"/>
    <x v="459"/>
    <x v="7"/>
  </r>
  <r>
    <x v="0"/>
    <x v="43"/>
    <x v="43"/>
    <x v="30"/>
    <x v="30"/>
    <x v="30"/>
    <x v="17"/>
    <x v="330"/>
    <x v="194"/>
    <x v="64"/>
    <x v="527"/>
    <x v="236"/>
    <x v="460"/>
    <x v="7"/>
  </r>
  <r>
    <x v="0"/>
    <x v="43"/>
    <x v="43"/>
    <x v="12"/>
    <x v="12"/>
    <x v="12"/>
    <x v="17"/>
    <x v="330"/>
    <x v="194"/>
    <x v="81"/>
    <x v="32"/>
    <x v="229"/>
    <x v="459"/>
    <x v="7"/>
  </r>
  <r>
    <x v="0"/>
    <x v="43"/>
    <x v="43"/>
    <x v="34"/>
    <x v="34"/>
    <x v="34"/>
    <x v="19"/>
    <x v="337"/>
    <x v="285"/>
    <x v="52"/>
    <x v="528"/>
    <x v="229"/>
    <x v="459"/>
    <x v="7"/>
  </r>
  <r>
    <x v="0"/>
    <x v="44"/>
    <x v="44"/>
    <x v="2"/>
    <x v="2"/>
    <x v="2"/>
    <x v="0"/>
    <x v="47"/>
    <x v="473"/>
    <x v="251"/>
    <x v="529"/>
    <x v="100"/>
    <x v="461"/>
    <x v="7"/>
  </r>
  <r>
    <x v="0"/>
    <x v="44"/>
    <x v="44"/>
    <x v="0"/>
    <x v="0"/>
    <x v="0"/>
    <x v="1"/>
    <x v="205"/>
    <x v="474"/>
    <x v="187"/>
    <x v="530"/>
    <x v="237"/>
    <x v="70"/>
    <x v="7"/>
  </r>
  <r>
    <x v="0"/>
    <x v="44"/>
    <x v="44"/>
    <x v="1"/>
    <x v="1"/>
    <x v="1"/>
    <x v="2"/>
    <x v="70"/>
    <x v="475"/>
    <x v="153"/>
    <x v="531"/>
    <x v="171"/>
    <x v="63"/>
    <x v="7"/>
  </r>
  <r>
    <x v="0"/>
    <x v="44"/>
    <x v="44"/>
    <x v="6"/>
    <x v="6"/>
    <x v="6"/>
    <x v="3"/>
    <x v="198"/>
    <x v="476"/>
    <x v="240"/>
    <x v="532"/>
    <x v="176"/>
    <x v="462"/>
    <x v="7"/>
  </r>
  <r>
    <x v="0"/>
    <x v="44"/>
    <x v="44"/>
    <x v="3"/>
    <x v="3"/>
    <x v="3"/>
    <x v="4"/>
    <x v="146"/>
    <x v="242"/>
    <x v="92"/>
    <x v="273"/>
    <x v="140"/>
    <x v="463"/>
    <x v="7"/>
  </r>
  <r>
    <x v="0"/>
    <x v="44"/>
    <x v="44"/>
    <x v="9"/>
    <x v="9"/>
    <x v="9"/>
    <x v="5"/>
    <x v="333"/>
    <x v="419"/>
    <x v="138"/>
    <x v="533"/>
    <x v="228"/>
    <x v="176"/>
    <x v="7"/>
  </r>
  <r>
    <x v="0"/>
    <x v="44"/>
    <x v="44"/>
    <x v="4"/>
    <x v="4"/>
    <x v="4"/>
    <x v="6"/>
    <x v="273"/>
    <x v="215"/>
    <x v="54"/>
    <x v="206"/>
    <x v="134"/>
    <x v="368"/>
    <x v="7"/>
  </r>
  <r>
    <x v="0"/>
    <x v="44"/>
    <x v="44"/>
    <x v="5"/>
    <x v="5"/>
    <x v="5"/>
    <x v="7"/>
    <x v="293"/>
    <x v="435"/>
    <x v="131"/>
    <x v="534"/>
    <x v="172"/>
    <x v="464"/>
    <x v="7"/>
  </r>
  <r>
    <x v="0"/>
    <x v="44"/>
    <x v="44"/>
    <x v="11"/>
    <x v="11"/>
    <x v="11"/>
    <x v="8"/>
    <x v="294"/>
    <x v="25"/>
    <x v="105"/>
    <x v="535"/>
    <x v="224"/>
    <x v="49"/>
    <x v="7"/>
  </r>
  <r>
    <x v="0"/>
    <x v="44"/>
    <x v="44"/>
    <x v="10"/>
    <x v="10"/>
    <x v="10"/>
    <x v="9"/>
    <x v="289"/>
    <x v="406"/>
    <x v="90"/>
    <x v="536"/>
    <x v="237"/>
    <x v="70"/>
    <x v="7"/>
  </r>
  <r>
    <x v="0"/>
    <x v="44"/>
    <x v="44"/>
    <x v="8"/>
    <x v="8"/>
    <x v="8"/>
    <x v="10"/>
    <x v="320"/>
    <x v="100"/>
    <x v="117"/>
    <x v="135"/>
    <x v="171"/>
    <x v="63"/>
    <x v="7"/>
  </r>
  <r>
    <x v="0"/>
    <x v="44"/>
    <x v="44"/>
    <x v="7"/>
    <x v="7"/>
    <x v="7"/>
    <x v="10"/>
    <x v="320"/>
    <x v="100"/>
    <x v="131"/>
    <x v="534"/>
    <x v="164"/>
    <x v="125"/>
    <x v="7"/>
  </r>
  <r>
    <x v="0"/>
    <x v="44"/>
    <x v="44"/>
    <x v="12"/>
    <x v="12"/>
    <x v="12"/>
    <x v="12"/>
    <x v="336"/>
    <x v="245"/>
    <x v="52"/>
    <x v="236"/>
    <x v="228"/>
    <x v="176"/>
    <x v="7"/>
  </r>
  <r>
    <x v="0"/>
    <x v="44"/>
    <x v="44"/>
    <x v="14"/>
    <x v="14"/>
    <x v="14"/>
    <x v="13"/>
    <x v="330"/>
    <x v="82"/>
    <x v="57"/>
    <x v="338"/>
    <x v="224"/>
    <x v="49"/>
    <x v="7"/>
  </r>
  <r>
    <x v="0"/>
    <x v="44"/>
    <x v="44"/>
    <x v="21"/>
    <x v="21"/>
    <x v="21"/>
    <x v="14"/>
    <x v="331"/>
    <x v="53"/>
    <x v="53"/>
    <x v="15"/>
    <x v="236"/>
    <x v="107"/>
    <x v="7"/>
  </r>
  <r>
    <x v="0"/>
    <x v="44"/>
    <x v="44"/>
    <x v="16"/>
    <x v="16"/>
    <x v="16"/>
    <x v="15"/>
    <x v="337"/>
    <x v="131"/>
    <x v="57"/>
    <x v="338"/>
    <x v="146"/>
    <x v="30"/>
    <x v="7"/>
  </r>
  <r>
    <x v="0"/>
    <x v="44"/>
    <x v="44"/>
    <x v="17"/>
    <x v="17"/>
    <x v="17"/>
    <x v="15"/>
    <x v="337"/>
    <x v="131"/>
    <x v="65"/>
    <x v="102"/>
    <x v="235"/>
    <x v="221"/>
    <x v="7"/>
  </r>
  <r>
    <x v="0"/>
    <x v="44"/>
    <x v="44"/>
    <x v="13"/>
    <x v="13"/>
    <x v="13"/>
    <x v="15"/>
    <x v="337"/>
    <x v="131"/>
    <x v="84"/>
    <x v="221"/>
    <x v="225"/>
    <x v="454"/>
    <x v="7"/>
  </r>
  <r>
    <x v="0"/>
    <x v="44"/>
    <x v="44"/>
    <x v="31"/>
    <x v="31"/>
    <x v="31"/>
    <x v="18"/>
    <x v="338"/>
    <x v="147"/>
    <x v="53"/>
    <x v="15"/>
    <x v="164"/>
    <x v="125"/>
    <x v="7"/>
  </r>
  <r>
    <x v="0"/>
    <x v="44"/>
    <x v="44"/>
    <x v="19"/>
    <x v="19"/>
    <x v="19"/>
    <x v="18"/>
    <x v="338"/>
    <x v="147"/>
    <x v="65"/>
    <x v="102"/>
    <x v="146"/>
    <x v="30"/>
    <x v="7"/>
  </r>
  <r>
    <x v="0"/>
    <x v="45"/>
    <x v="45"/>
    <x v="2"/>
    <x v="2"/>
    <x v="2"/>
    <x v="0"/>
    <x v="195"/>
    <x v="477"/>
    <x v="62"/>
    <x v="537"/>
    <x v="90"/>
    <x v="465"/>
    <x v="7"/>
  </r>
  <r>
    <x v="0"/>
    <x v="45"/>
    <x v="45"/>
    <x v="1"/>
    <x v="1"/>
    <x v="1"/>
    <x v="1"/>
    <x v="247"/>
    <x v="478"/>
    <x v="38"/>
    <x v="538"/>
    <x v="172"/>
    <x v="31"/>
    <x v="7"/>
  </r>
  <r>
    <x v="0"/>
    <x v="45"/>
    <x v="45"/>
    <x v="0"/>
    <x v="0"/>
    <x v="0"/>
    <x v="2"/>
    <x v="183"/>
    <x v="479"/>
    <x v="93"/>
    <x v="539"/>
    <x v="176"/>
    <x v="306"/>
    <x v="7"/>
  </r>
  <r>
    <x v="0"/>
    <x v="45"/>
    <x v="45"/>
    <x v="5"/>
    <x v="5"/>
    <x v="5"/>
    <x v="3"/>
    <x v="143"/>
    <x v="439"/>
    <x v="83"/>
    <x v="540"/>
    <x v="158"/>
    <x v="466"/>
    <x v="7"/>
  </r>
  <r>
    <x v="0"/>
    <x v="45"/>
    <x v="45"/>
    <x v="4"/>
    <x v="4"/>
    <x v="4"/>
    <x v="4"/>
    <x v="71"/>
    <x v="480"/>
    <x v="90"/>
    <x v="266"/>
    <x v="80"/>
    <x v="467"/>
    <x v="7"/>
  </r>
  <r>
    <x v="0"/>
    <x v="45"/>
    <x v="45"/>
    <x v="3"/>
    <x v="3"/>
    <x v="3"/>
    <x v="5"/>
    <x v="90"/>
    <x v="481"/>
    <x v="104"/>
    <x v="232"/>
    <x v="45"/>
    <x v="468"/>
    <x v="7"/>
  </r>
  <r>
    <x v="0"/>
    <x v="45"/>
    <x v="45"/>
    <x v="8"/>
    <x v="8"/>
    <x v="8"/>
    <x v="6"/>
    <x v="91"/>
    <x v="482"/>
    <x v="131"/>
    <x v="504"/>
    <x v="84"/>
    <x v="469"/>
    <x v="1"/>
  </r>
  <r>
    <x v="0"/>
    <x v="45"/>
    <x v="45"/>
    <x v="6"/>
    <x v="6"/>
    <x v="6"/>
    <x v="7"/>
    <x v="164"/>
    <x v="398"/>
    <x v="47"/>
    <x v="511"/>
    <x v="237"/>
    <x v="470"/>
    <x v="7"/>
  </r>
  <r>
    <x v="0"/>
    <x v="45"/>
    <x v="45"/>
    <x v="10"/>
    <x v="10"/>
    <x v="10"/>
    <x v="8"/>
    <x v="58"/>
    <x v="420"/>
    <x v="83"/>
    <x v="540"/>
    <x v="81"/>
    <x v="471"/>
    <x v="7"/>
  </r>
  <r>
    <x v="0"/>
    <x v="45"/>
    <x v="45"/>
    <x v="9"/>
    <x v="9"/>
    <x v="9"/>
    <x v="8"/>
    <x v="58"/>
    <x v="420"/>
    <x v="96"/>
    <x v="541"/>
    <x v="237"/>
    <x v="470"/>
    <x v="7"/>
  </r>
  <r>
    <x v="0"/>
    <x v="45"/>
    <x v="45"/>
    <x v="16"/>
    <x v="16"/>
    <x v="16"/>
    <x v="10"/>
    <x v="156"/>
    <x v="301"/>
    <x v="48"/>
    <x v="414"/>
    <x v="68"/>
    <x v="407"/>
    <x v="7"/>
  </r>
  <r>
    <x v="0"/>
    <x v="45"/>
    <x v="45"/>
    <x v="13"/>
    <x v="13"/>
    <x v="13"/>
    <x v="11"/>
    <x v="146"/>
    <x v="483"/>
    <x v="107"/>
    <x v="333"/>
    <x v="190"/>
    <x v="443"/>
    <x v="7"/>
  </r>
  <r>
    <x v="0"/>
    <x v="45"/>
    <x v="45"/>
    <x v="15"/>
    <x v="15"/>
    <x v="15"/>
    <x v="12"/>
    <x v="147"/>
    <x v="140"/>
    <x v="48"/>
    <x v="414"/>
    <x v="147"/>
    <x v="22"/>
    <x v="7"/>
  </r>
  <r>
    <x v="0"/>
    <x v="45"/>
    <x v="45"/>
    <x v="7"/>
    <x v="7"/>
    <x v="7"/>
    <x v="13"/>
    <x v="293"/>
    <x v="167"/>
    <x v="55"/>
    <x v="542"/>
    <x v="224"/>
    <x v="294"/>
    <x v="7"/>
  </r>
  <r>
    <x v="0"/>
    <x v="45"/>
    <x v="45"/>
    <x v="30"/>
    <x v="30"/>
    <x v="30"/>
    <x v="14"/>
    <x v="291"/>
    <x v="207"/>
    <x v="64"/>
    <x v="72"/>
    <x v="227"/>
    <x v="199"/>
    <x v="7"/>
  </r>
  <r>
    <x v="0"/>
    <x v="45"/>
    <x v="45"/>
    <x v="18"/>
    <x v="18"/>
    <x v="18"/>
    <x v="14"/>
    <x v="291"/>
    <x v="207"/>
    <x v="84"/>
    <x v="71"/>
    <x v="226"/>
    <x v="210"/>
    <x v="7"/>
  </r>
  <r>
    <x v="0"/>
    <x v="45"/>
    <x v="45"/>
    <x v="22"/>
    <x v="22"/>
    <x v="22"/>
    <x v="16"/>
    <x v="319"/>
    <x v="19"/>
    <x v="65"/>
    <x v="159"/>
    <x v="216"/>
    <x v="29"/>
    <x v="7"/>
  </r>
  <r>
    <x v="0"/>
    <x v="45"/>
    <x v="45"/>
    <x v="14"/>
    <x v="14"/>
    <x v="14"/>
    <x v="17"/>
    <x v="335"/>
    <x v="342"/>
    <x v="57"/>
    <x v="69"/>
    <x v="171"/>
    <x v="85"/>
    <x v="7"/>
  </r>
  <r>
    <x v="0"/>
    <x v="45"/>
    <x v="45"/>
    <x v="12"/>
    <x v="12"/>
    <x v="12"/>
    <x v="17"/>
    <x v="335"/>
    <x v="342"/>
    <x v="90"/>
    <x v="266"/>
    <x v="229"/>
    <x v="447"/>
    <x v="7"/>
  </r>
  <r>
    <x v="0"/>
    <x v="45"/>
    <x v="45"/>
    <x v="11"/>
    <x v="11"/>
    <x v="11"/>
    <x v="19"/>
    <x v="329"/>
    <x v="484"/>
    <x v="81"/>
    <x v="543"/>
    <x v="236"/>
    <x v="200"/>
    <x v="7"/>
  </r>
  <r>
    <x v="0"/>
    <x v="46"/>
    <x v="46"/>
    <x v="2"/>
    <x v="2"/>
    <x v="2"/>
    <x v="0"/>
    <x v="99"/>
    <x v="485"/>
    <x v="141"/>
    <x v="544"/>
    <x v="64"/>
    <x v="472"/>
    <x v="7"/>
  </r>
  <r>
    <x v="0"/>
    <x v="46"/>
    <x v="46"/>
    <x v="1"/>
    <x v="1"/>
    <x v="1"/>
    <x v="1"/>
    <x v="47"/>
    <x v="486"/>
    <x v="234"/>
    <x v="545"/>
    <x v="68"/>
    <x v="473"/>
    <x v="7"/>
  </r>
  <r>
    <x v="0"/>
    <x v="46"/>
    <x v="46"/>
    <x v="4"/>
    <x v="4"/>
    <x v="4"/>
    <x v="2"/>
    <x v="265"/>
    <x v="487"/>
    <x v="84"/>
    <x v="272"/>
    <x v="46"/>
    <x v="474"/>
    <x v="1"/>
  </r>
  <r>
    <x v="0"/>
    <x v="46"/>
    <x v="46"/>
    <x v="0"/>
    <x v="0"/>
    <x v="0"/>
    <x v="3"/>
    <x v="211"/>
    <x v="488"/>
    <x v="166"/>
    <x v="546"/>
    <x v="171"/>
    <x v="11"/>
    <x v="7"/>
  </r>
  <r>
    <x v="0"/>
    <x v="46"/>
    <x v="46"/>
    <x v="6"/>
    <x v="6"/>
    <x v="6"/>
    <x v="4"/>
    <x v="69"/>
    <x v="372"/>
    <x v="134"/>
    <x v="547"/>
    <x v="145"/>
    <x v="289"/>
    <x v="7"/>
  </r>
  <r>
    <x v="0"/>
    <x v="46"/>
    <x v="46"/>
    <x v="5"/>
    <x v="5"/>
    <x v="5"/>
    <x v="5"/>
    <x v="334"/>
    <x v="42"/>
    <x v="92"/>
    <x v="548"/>
    <x v="80"/>
    <x v="475"/>
    <x v="7"/>
  </r>
  <r>
    <x v="0"/>
    <x v="46"/>
    <x v="46"/>
    <x v="3"/>
    <x v="3"/>
    <x v="3"/>
    <x v="6"/>
    <x v="90"/>
    <x v="489"/>
    <x v="69"/>
    <x v="549"/>
    <x v="73"/>
    <x v="362"/>
    <x v="7"/>
  </r>
  <r>
    <x v="0"/>
    <x v="46"/>
    <x v="46"/>
    <x v="10"/>
    <x v="10"/>
    <x v="10"/>
    <x v="7"/>
    <x v="58"/>
    <x v="191"/>
    <x v="107"/>
    <x v="105"/>
    <x v="148"/>
    <x v="235"/>
    <x v="7"/>
  </r>
  <r>
    <x v="0"/>
    <x v="46"/>
    <x v="46"/>
    <x v="9"/>
    <x v="9"/>
    <x v="9"/>
    <x v="7"/>
    <x v="58"/>
    <x v="191"/>
    <x v="68"/>
    <x v="550"/>
    <x v="228"/>
    <x v="354"/>
    <x v="7"/>
  </r>
  <r>
    <x v="0"/>
    <x v="46"/>
    <x v="46"/>
    <x v="7"/>
    <x v="7"/>
    <x v="7"/>
    <x v="9"/>
    <x v="154"/>
    <x v="229"/>
    <x v="82"/>
    <x v="314"/>
    <x v="95"/>
    <x v="219"/>
    <x v="1"/>
  </r>
  <r>
    <x v="0"/>
    <x v="46"/>
    <x v="46"/>
    <x v="8"/>
    <x v="8"/>
    <x v="8"/>
    <x v="10"/>
    <x v="165"/>
    <x v="490"/>
    <x v="52"/>
    <x v="203"/>
    <x v="73"/>
    <x v="362"/>
    <x v="7"/>
  </r>
  <r>
    <x v="0"/>
    <x v="46"/>
    <x v="46"/>
    <x v="12"/>
    <x v="12"/>
    <x v="12"/>
    <x v="11"/>
    <x v="146"/>
    <x v="280"/>
    <x v="81"/>
    <x v="13"/>
    <x v="147"/>
    <x v="139"/>
    <x v="7"/>
  </r>
  <r>
    <x v="0"/>
    <x v="46"/>
    <x v="46"/>
    <x v="11"/>
    <x v="11"/>
    <x v="11"/>
    <x v="12"/>
    <x v="317"/>
    <x v="422"/>
    <x v="51"/>
    <x v="551"/>
    <x v="176"/>
    <x v="434"/>
    <x v="7"/>
  </r>
  <r>
    <x v="0"/>
    <x v="46"/>
    <x v="46"/>
    <x v="13"/>
    <x v="13"/>
    <x v="13"/>
    <x v="12"/>
    <x v="317"/>
    <x v="422"/>
    <x v="92"/>
    <x v="548"/>
    <x v="224"/>
    <x v="417"/>
    <x v="7"/>
  </r>
  <r>
    <x v="0"/>
    <x v="46"/>
    <x v="46"/>
    <x v="17"/>
    <x v="17"/>
    <x v="17"/>
    <x v="14"/>
    <x v="316"/>
    <x v="101"/>
    <x v="84"/>
    <x v="272"/>
    <x v="190"/>
    <x v="19"/>
    <x v="7"/>
  </r>
  <r>
    <x v="0"/>
    <x v="46"/>
    <x v="46"/>
    <x v="19"/>
    <x v="19"/>
    <x v="19"/>
    <x v="15"/>
    <x v="289"/>
    <x v="245"/>
    <x v="57"/>
    <x v="87"/>
    <x v="172"/>
    <x v="220"/>
    <x v="7"/>
  </r>
  <r>
    <x v="0"/>
    <x v="46"/>
    <x v="46"/>
    <x v="22"/>
    <x v="22"/>
    <x v="22"/>
    <x v="16"/>
    <x v="318"/>
    <x v="247"/>
    <x v="65"/>
    <x v="462"/>
    <x v="140"/>
    <x v="83"/>
    <x v="7"/>
  </r>
  <r>
    <x v="0"/>
    <x v="46"/>
    <x v="46"/>
    <x v="18"/>
    <x v="18"/>
    <x v="18"/>
    <x v="17"/>
    <x v="319"/>
    <x v="284"/>
    <x v="57"/>
    <x v="87"/>
    <x v="216"/>
    <x v="207"/>
    <x v="7"/>
  </r>
  <r>
    <x v="0"/>
    <x v="46"/>
    <x v="46"/>
    <x v="21"/>
    <x v="21"/>
    <x v="21"/>
    <x v="18"/>
    <x v="335"/>
    <x v="132"/>
    <x v="48"/>
    <x v="552"/>
    <x v="146"/>
    <x v="291"/>
    <x v="7"/>
  </r>
  <r>
    <x v="0"/>
    <x v="46"/>
    <x v="46"/>
    <x v="27"/>
    <x v="27"/>
    <x v="27"/>
    <x v="18"/>
    <x v="335"/>
    <x v="132"/>
    <x v="52"/>
    <x v="203"/>
    <x v="235"/>
    <x v="470"/>
    <x v="7"/>
  </r>
  <r>
    <x v="0"/>
    <x v="47"/>
    <x v="47"/>
    <x v="0"/>
    <x v="0"/>
    <x v="0"/>
    <x v="0"/>
    <x v="339"/>
    <x v="295"/>
    <x v="252"/>
    <x v="553"/>
    <x v="149"/>
    <x v="476"/>
    <x v="7"/>
  </r>
  <r>
    <x v="0"/>
    <x v="47"/>
    <x v="47"/>
    <x v="1"/>
    <x v="1"/>
    <x v="1"/>
    <x v="1"/>
    <x v="160"/>
    <x v="491"/>
    <x v="40"/>
    <x v="554"/>
    <x v="224"/>
    <x v="15"/>
    <x v="7"/>
  </r>
  <r>
    <x v="0"/>
    <x v="47"/>
    <x v="47"/>
    <x v="3"/>
    <x v="3"/>
    <x v="3"/>
    <x v="2"/>
    <x v="181"/>
    <x v="492"/>
    <x v="153"/>
    <x v="555"/>
    <x v="135"/>
    <x v="477"/>
    <x v="7"/>
  </r>
  <r>
    <x v="0"/>
    <x v="47"/>
    <x v="47"/>
    <x v="4"/>
    <x v="4"/>
    <x v="4"/>
    <x v="3"/>
    <x v="67"/>
    <x v="493"/>
    <x v="106"/>
    <x v="556"/>
    <x v="69"/>
    <x v="478"/>
    <x v="7"/>
  </r>
  <r>
    <x v="0"/>
    <x v="47"/>
    <x v="47"/>
    <x v="11"/>
    <x v="11"/>
    <x v="11"/>
    <x v="4"/>
    <x v="53"/>
    <x v="494"/>
    <x v="192"/>
    <x v="557"/>
    <x v="147"/>
    <x v="479"/>
    <x v="7"/>
  </r>
  <r>
    <x v="0"/>
    <x v="47"/>
    <x v="47"/>
    <x v="5"/>
    <x v="5"/>
    <x v="5"/>
    <x v="5"/>
    <x v="163"/>
    <x v="495"/>
    <x v="183"/>
    <x v="558"/>
    <x v="138"/>
    <x v="362"/>
    <x v="7"/>
  </r>
  <r>
    <x v="0"/>
    <x v="47"/>
    <x v="47"/>
    <x v="10"/>
    <x v="10"/>
    <x v="10"/>
    <x v="6"/>
    <x v="217"/>
    <x v="253"/>
    <x v="97"/>
    <x v="559"/>
    <x v="176"/>
    <x v="110"/>
    <x v="7"/>
  </r>
  <r>
    <x v="0"/>
    <x v="47"/>
    <x v="47"/>
    <x v="6"/>
    <x v="6"/>
    <x v="6"/>
    <x v="7"/>
    <x v="157"/>
    <x v="268"/>
    <x v="89"/>
    <x v="285"/>
    <x v="164"/>
    <x v="480"/>
    <x v="7"/>
  </r>
  <r>
    <x v="0"/>
    <x v="47"/>
    <x v="47"/>
    <x v="12"/>
    <x v="12"/>
    <x v="12"/>
    <x v="8"/>
    <x v="146"/>
    <x v="203"/>
    <x v="83"/>
    <x v="560"/>
    <x v="226"/>
    <x v="481"/>
    <x v="7"/>
  </r>
  <r>
    <x v="0"/>
    <x v="47"/>
    <x v="47"/>
    <x v="9"/>
    <x v="9"/>
    <x v="9"/>
    <x v="9"/>
    <x v="293"/>
    <x v="496"/>
    <x v="159"/>
    <x v="561"/>
    <x v="239"/>
    <x v="410"/>
    <x v="7"/>
  </r>
  <r>
    <x v="0"/>
    <x v="47"/>
    <x v="47"/>
    <x v="8"/>
    <x v="8"/>
    <x v="8"/>
    <x v="10"/>
    <x v="294"/>
    <x v="113"/>
    <x v="48"/>
    <x v="562"/>
    <x v="214"/>
    <x v="482"/>
    <x v="7"/>
  </r>
  <r>
    <x v="0"/>
    <x v="47"/>
    <x v="47"/>
    <x v="40"/>
    <x v="40"/>
    <x v="40"/>
    <x v="11"/>
    <x v="328"/>
    <x v="206"/>
    <x v="52"/>
    <x v="117"/>
    <x v="171"/>
    <x v="42"/>
    <x v="7"/>
  </r>
  <r>
    <x v="0"/>
    <x v="47"/>
    <x v="47"/>
    <x v="2"/>
    <x v="2"/>
    <x v="2"/>
    <x v="12"/>
    <x v="290"/>
    <x v="381"/>
    <x v="64"/>
    <x v="113"/>
    <x v="176"/>
    <x v="110"/>
    <x v="7"/>
  </r>
  <r>
    <x v="0"/>
    <x v="47"/>
    <x v="47"/>
    <x v="24"/>
    <x v="24"/>
    <x v="24"/>
    <x v="13"/>
    <x v="318"/>
    <x v="145"/>
    <x v="53"/>
    <x v="563"/>
    <x v="171"/>
    <x v="42"/>
    <x v="7"/>
  </r>
  <r>
    <x v="0"/>
    <x v="47"/>
    <x v="47"/>
    <x v="42"/>
    <x v="42"/>
    <x v="42"/>
    <x v="13"/>
    <x v="318"/>
    <x v="145"/>
    <x v="117"/>
    <x v="135"/>
    <x v="240"/>
    <x v="483"/>
    <x v="7"/>
  </r>
  <r>
    <x v="0"/>
    <x v="47"/>
    <x v="47"/>
    <x v="7"/>
    <x v="7"/>
    <x v="7"/>
    <x v="15"/>
    <x v="329"/>
    <x v="283"/>
    <x v="131"/>
    <x v="363"/>
    <x v="228"/>
    <x v="417"/>
    <x v="7"/>
  </r>
  <r>
    <x v="0"/>
    <x v="47"/>
    <x v="47"/>
    <x v="13"/>
    <x v="13"/>
    <x v="13"/>
    <x v="16"/>
    <x v="320"/>
    <x v="497"/>
    <x v="81"/>
    <x v="429"/>
    <x v="228"/>
    <x v="417"/>
    <x v="7"/>
  </r>
  <r>
    <x v="0"/>
    <x v="47"/>
    <x v="47"/>
    <x v="27"/>
    <x v="27"/>
    <x v="27"/>
    <x v="16"/>
    <x v="320"/>
    <x v="497"/>
    <x v="90"/>
    <x v="427"/>
    <x v="239"/>
    <x v="410"/>
    <x v="7"/>
  </r>
  <r>
    <x v="0"/>
    <x v="47"/>
    <x v="47"/>
    <x v="18"/>
    <x v="18"/>
    <x v="18"/>
    <x v="18"/>
    <x v="321"/>
    <x v="367"/>
    <x v="54"/>
    <x v="190"/>
    <x v="224"/>
    <x v="15"/>
    <x v="7"/>
  </r>
  <r>
    <x v="0"/>
    <x v="47"/>
    <x v="47"/>
    <x v="35"/>
    <x v="35"/>
    <x v="35"/>
    <x v="19"/>
    <x v="330"/>
    <x v="498"/>
    <x v="53"/>
    <x v="563"/>
    <x v="237"/>
    <x v="385"/>
    <x v="7"/>
  </r>
  <r>
    <x v="0"/>
    <x v="47"/>
    <x v="47"/>
    <x v="17"/>
    <x v="17"/>
    <x v="17"/>
    <x v="19"/>
    <x v="330"/>
    <x v="498"/>
    <x v="65"/>
    <x v="564"/>
    <x v="223"/>
    <x v="208"/>
    <x v="7"/>
  </r>
  <r>
    <x v="0"/>
    <x v="48"/>
    <x v="48"/>
    <x v="0"/>
    <x v="0"/>
    <x v="0"/>
    <x v="0"/>
    <x v="152"/>
    <x v="438"/>
    <x v="253"/>
    <x v="565"/>
    <x v="224"/>
    <x v="70"/>
    <x v="7"/>
  </r>
  <r>
    <x v="0"/>
    <x v="48"/>
    <x v="48"/>
    <x v="1"/>
    <x v="1"/>
    <x v="1"/>
    <x v="1"/>
    <x v="104"/>
    <x v="499"/>
    <x v="91"/>
    <x v="566"/>
    <x v="146"/>
    <x v="69"/>
    <x v="7"/>
  </r>
  <r>
    <x v="0"/>
    <x v="48"/>
    <x v="48"/>
    <x v="5"/>
    <x v="5"/>
    <x v="5"/>
    <x v="2"/>
    <x v="86"/>
    <x v="500"/>
    <x v="114"/>
    <x v="24"/>
    <x v="80"/>
    <x v="484"/>
    <x v="7"/>
  </r>
  <r>
    <x v="0"/>
    <x v="48"/>
    <x v="48"/>
    <x v="4"/>
    <x v="4"/>
    <x v="4"/>
    <x v="3"/>
    <x v="286"/>
    <x v="501"/>
    <x v="74"/>
    <x v="548"/>
    <x v="72"/>
    <x v="485"/>
    <x v="7"/>
  </r>
  <r>
    <x v="0"/>
    <x v="48"/>
    <x v="48"/>
    <x v="8"/>
    <x v="8"/>
    <x v="8"/>
    <x v="4"/>
    <x v="145"/>
    <x v="502"/>
    <x v="105"/>
    <x v="130"/>
    <x v="144"/>
    <x v="486"/>
    <x v="7"/>
  </r>
  <r>
    <x v="0"/>
    <x v="48"/>
    <x v="48"/>
    <x v="2"/>
    <x v="2"/>
    <x v="2"/>
    <x v="5"/>
    <x v="73"/>
    <x v="415"/>
    <x v="69"/>
    <x v="421"/>
    <x v="107"/>
    <x v="468"/>
    <x v="7"/>
  </r>
  <r>
    <x v="0"/>
    <x v="48"/>
    <x v="48"/>
    <x v="31"/>
    <x v="31"/>
    <x v="31"/>
    <x v="6"/>
    <x v="166"/>
    <x v="503"/>
    <x v="124"/>
    <x v="567"/>
    <x v="216"/>
    <x v="487"/>
    <x v="7"/>
  </r>
  <r>
    <x v="0"/>
    <x v="48"/>
    <x v="48"/>
    <x v="6"/>
    <x v="6"/>
    <x v="6"/>
    <x v="7"/>
    <x v="155"/>
    <x v="374"/>
    <x v="97"/>
    <x v="568"/>
    <x v="164"/>
    <x v="488"/>
    <x v="7"/>
  </r>
  <r>
    <x v="0"/>
    <x v="48"/>
    <x v="48"/>
    <x v="3"/>
    <x v="3"/>
    <x v="3"/>
    <x v="8"/>
    <x v="327"/>
    <x v="107"/>
    <x v="83"/>
    <x v="569"/>
    <x v="66"/>
    <x v="171"/>
    <x v="7"/>
  </r>
  <r>
    <x v="0"/>
    <x v="48"/>
    <x v="48"/>
    <x v="9"/>
    <x v="9"/>
    <x v="9"/>
    <x v="8"/>
    <x v="327"/>
    <x v="107"/>
    <x v="97"/>
    <x v="568"/>
    <x v="229"/>
    <x v="489"/>
    <x v="7"/>
  </r>
  <r>
    <x v="0"/>
    <x v="48"/>
    <x v="48"/>
    <x v="15"/>
    <x v="15"/>
    <x v="15"/>
    <x v="10"/>
    <x v="146"/>
    <x v="351"/>
    <x v="123"/>
    <x v="275"/>
    <x v="81"/>
    <x v="490"/>
    <x v="7"/>
  </r>
  <r>
    <x v="0"/>
    <x v="48"/>
    <x v="48"/>
    <x v="10"/>
    <x v="10"/>
    <x v="10"/>
    <x v="11"/>
    <x v="273"/>
    <x v="166"/>
    <x v="138"/>
    <x v="570"/>
    <x v="164"/>
    <x v="488"/>
    <x v="7"/>
  </r>
  <r>
    <x v="0"/>
    <x v="48"/>
    <x v="48"/>
    <x v="11"/>
    <x v="11"/>
    <x v="11"/>
    <x v="12"/>
    <x v="292"/>
    <x v="459"/>
    <x v="83"/>
    <x v="569"/>
    <x v="237"/>
    <x v="332"/>
    <x v="7"/>
  </r>
  <r>
    <x v="0"/>
    <x v="48"/>
    <x v="48"/>
    <x v="18"/>
    <x v="18"/>
    <x v="18"/>
    <x v="13"/>
    <x v="288"/>
    <x v="144"/>
    <x v="53"/>
    <x v="571"/>
    <x v="140"/>
    <x v="386"/>
    <x v="7"/>
  </r>
  <r>
    <x v="0"/>
    <x v="48"/>
    <x v="48"/>
    <x v="27"/>
    <x v="27"/>
    <x v="27"/>
    <x v="14"/>
    <x v="289"/>
    <x v="50"/>
    <x v="105"/>
    <x v="130"/>
    <x v="229"/>
    <x v="489"/>
    <x v="7"/>
  </r>
  <r>
    <x v="0"/>
    <x v="48"/>
    <x v="48"/>
    <x v="16"/>
    <x v="16"/>
    <x v="16"/>
    <x v="15"/>
    <x v="318"/>
    <x v="394"/>
    <x v="48"/>
    <x v="412"/>
    <x v="223"/>
    <x v="126"/>
    <x v="7"/>
  </r>
  <r>
    <x v="0"/>
    <x v="48"/>
    <x v="48"/>
    <x v="37"/>
    <x v="37"/>
    <x v="37"/>
    <x v="16"/>
    <x v="335"/>
    <x v="247"/>
    <x v="53"/>
    <x v="571"/>
    <x v="226"/>
    <x v="16"/>
    <x v="7"/>
  </r>
  <r>
    <x v="0"/>
    <x v="48"/>
    <x v="48"/>
    <x v="12"/>
    <x v="12"/>
    <x v="12"/>
    <x v="16"/>
    <x v="335"/>
    <x v="247"/>
    <x v="123"/>
    <x v="275"/>
    <x v="164"/>
    <x v="488"/>
    <x v="7"/>
  </r>
  <r>
    <x v="0"/>
    <x v="48"/>
    <x v="48"/>
    <x v="13"/>
    <x v="13"/>
    <x v="13"/>
    <x v="16"/>
    <x v="335"/>
    <x v="247"/>
    <x v="84"/>
    <x v="223"/>
    <x v="224"/>
    <x v="70"/>
    <x v="7"/>
  </r>
  <r>
    <x v="0"/>
    <x v="48"/>
    <x v="48"/>
    <x v="17"/>
    <x v="17"/>
    <x v="17"/>
    <x v="19"/>
    <x v="320"/>
    <x v="484"/>
    <x v="64"/>
    <x v="26"/>
    <x v="235"/>
    <x v="11"/>
    <x v="7"/>
  </r>
  <r>
    <x v="0"/>
    <x v="48"/>
    <x v="48"/>
    <x v="19"/>
    <x v="19"/>
    <x v="19"/>
    <x v="19"/>
    <x v="320"/>
    <x v="484"/>
    <x v="54"/>
    <x v="357"/>
    <x v="223"/>
    <x v="126"/>
    <x v="7"/>
  </r>
  <r>
    <x v="0"/>
    <x v="49"/>
    <x v="49"/>
    <x v="0"/>
    <x v="0"/>
    <x v="0"/>
    <x v="0"/>
    <x v="50"/>
    <x v="504"/>
    <x v="174"/>
    <x v="572"/>
    <x v="171"/>
    <x v="302"/>
    <x v="7"/>
  </r>
  <r>
    <x v="0"/>
    <x v="49"/>
    <x v="49"/>
    <x v="1"/>
    <x v="1"/>
    <x v="1"/>
    <x v="1"/>
    <x v="210"/>
    <x v="505"/>
    <x v="35"/>
    <x v="139"/>
    <x v="226"/>
    <x v="332"/>
    <x v="7"/>
  </r>
  <r>
    <x v="0"/>
    <x v="49"/>
    <x v="49"/>
    <x v="2"/>
    <x v="2"/>
    <x v="2"/>
    <x v="2"/>
    <x v="285"/>
    <x v="506"/>
    <x v="107"/>
    <x v="573"/>
    <x v="115"/>
    <x v="491"/>
    <x v="7"/>
  </r>
  <r>
    <x v="0"/>
    <x v="49"/>
    <x v="49"/>
    <x v="8"/>
    <x v="8"/>
    <x v="8"/>
    <x v="3"/>
    <x v="68"/>
    <x v="507"/>
    <x v="56"/>
    <x v="523"/>
    <x v="69"/>
    <x v="492"/>
    <x v="7"/>
  </r>
  <r>
    <x v="0"/>
    <x v="49"/>
    <x v="49"/>
    <x v="3"/>
    <x v="3"/>
    <x v="3"/>
    <x v="4"/>
    <x v="88"/>
    <x v="227"/>
    <x v="97"/>
    <x v="533"/>
    <x v="145"/>
    <x v="493"/>
    <x v="7"/>
  </r>
  <r>
    <x v="0"/>
    <x v="49"/>
    <x v="49"/>
    <x v="5"/>
    <x v="5"/>
    <x v="5"/>
    <x v="5"/>
    <x v="144"/>
    <x v="508"/>
    <x v="90"/>
    <x v="204"/>
    <x v="55"/>
    <x v="494"/>
    <x v="7"/>
  </r>
  <r>
    <x v="0"/>
    <x v="49"/>
    <x v="49"/>
    <x v="4"/>
    <x v="4"/>
    <x v="4"/>
    <x v="6"/>
    <x v="90"/>
    <x v="399"/>
    <x v="53"/>
    <x v="29"/>
    <x v="100"/>
    <x v="495"/>
    <x v="7"/>
  </r>
  <r>
    <x v="0"/>
    <x v="49"/>
    <x v="49"/>
    <x v="10"/>
    <x v="10"/>
    <x v="10"/>
    <x v="7"/>
    <x v="73"/>
    <x v="202"/>
    <x v="124"/>
    <x v="114"/>
    <x v="214"/>
    <x v="105"/>
    <x v="7"/>
  </r>
  <r>
    <x v="0"/>
    <x v="49"/>
    <x v="49"/>
    <x v="9"/>
    <x v="9"/>
    <x v="9"/>
    <x v="8"/>
    <x v="166"/>
    <x v="110"/>
    <x v="68"/>
    <x v="503"/>
    <x v="229"/>
    <x v="496"/>
    <x v="7"/>
  </r>
  <r>
    <x v="0"/>
    <x v="49"/>
    <x v="49"/>
    <x v="11"/>
    <x v="11"/>
    <x v="11"/>
    <x v="9"/>
    <x v="156"/>
    <x v="509"/>
    <x v="183"/>
    <x v="574"/>
    <x v="237"/>
    <x v="459"/>
    <x v="7"/>
  </r>
  <r>
    <x v="0"/>
    <x v="49"/>
    <x v="49"/>
    <x v="6"/>
    <x v="6"/>
    <x v="6"/>
    <x v="10"/>
    <x v="157"/>
    <x v="461"/>
    <x v="183"/>
    <x v="574"/>
    <x v="225"/>
    <x v="390"/>
    <x v="1"/>
  </r>
  <r>
    <x v="0"/>
    <x v="49"/>
    <x v="49"/>
    <x v="14"/>
    <x v="14"/>
    <x v="14"/>
    <x v="11"/>
    <x v="168"/>
    <x v="30"/>
    <x v="54"/>
    <x v="128"/>
    <x v="136"/>
    <x v="497"/>
    <x v="7"/>
  </r>
  <r>
    <x v="0"/>
    <x v="49"/>
    <x v="49"/>
    <x v="16"/>
    <x v="16"/>
    <x v="16"/>
    <x v="12"/>
    <x v="271"/>
    <x v="393"/>
    <x v="53"/>
    <x v="29"/>
    <x v="144"/>
    <x v="225"/>
    <x v="7"/>
  </r>
  <r>
    <x v="0"/>
    <x v="49"/>
    <x v="49"/>
    <x v="7"/>
    <x v="7"/>
    <x v="7"/>
    <x v="13"/>
    <x v="147"/>
    <x v="182"/>
    <x v="82"/>
    <x v="575"/>
    <x v="226"/>
    <x v="332"/>
    <x v="7"/>
  </r>
  <r>
    <x v="0"/>
    <x v="49"/>
    <x v="49"/>
    <x v="15"/>
    <x v="15"/>
    <x v="15"/>
    <x v="14"/>
    <x v="272"/>
    <x v="232"/>
    <x v="131"/>
    <x v="377"/>
    <x v="81"/>
    <x v="429"/>
    <x v="7"/>
  </r>
  <r>
    <x v="0"/>
    <x v="49"/>
    <x v="49"/>
    <x v="18"/>
    <x v="18"/>
    <x v="18"/>
    <x v="15"/>
    <x v="293"/>
    <x v="128"/>
    <x v="53"/>
    <x v="29"/>
    <x v="149"/>
    <x v="237"/>
    <x v="7"/>
  </r>
  <r>
    <x v="0"/>
    <x v="49"/>
    <x v="49"/>
    <x v="31"/>
    <x v="31"/>
    <x v="31"/>
    <x v="16"/>
    <x v="316"/>
    <x v="15"/>
    <x v="70"/>
    <x v="576"/>
    <x v="227"/>
    <x v="134"/>
    <x v="7"/>
  </r>
  <r>
    <x v="0"/>
    <x v="49"/>
    <x v="49"/>
    <x v="37"/>
    <x v="37"/>
    <x v="37"/>
    <x v="17"/>
    <x v="288"/>
    <x v="245"/>
    <x v="57"/>
    <x v="577"/>
    <x v="138"/>
    <x v="67"/>
    <x v="7"/>
  </r>
  <r>
    <x v="0"/>
    <x v="49"/>
    <x v="49"/>
    <x v="17"/>
    <x v="17"/>
    <x v="17"/>
    <x v="18"/>
    <x v="328"/>
    <x v="246"/>
    <x v="84"/>
    <x v="200"/>
    <x v="216"/>
    <x v="460"/>
    <x v="7"/>
  </r>
  <r>
    <x v="0"/>
    <x v="49"/>
    <x v="49"/>
    <x v="19"/>
    <x v="19"/>
    <x v="19"/>
    <x v="19"/>
    <x v="289"/>
    <x v="129"/>
    <x v="84"/>
    <x v="200"/>
    <x v="171"/>
    <x v="302"/>
    <x v="7"/>
  </r>
  <r>
    <x v="0"/>
    <x v="49"/>
    <x v="49"/>
    <x v="27"/>
    <x v="27"/>
    <x v="27"/>
    <x v="19"/>
    <x v="289"/>
    <x v="129"/>
    <x v="131"/>
    <x v="377"/>
    <x v="223"/>
    <x v="498"/>
    <x v="7"/>
  </r>
  <r>
    <x v="0"/>
    <x v="50"/>
    <x v="50"/>
    <x v="2"/>
    <x v="2"/>
    <x v="2"/>
    <x v="0"/>
    <x v="263"/>
    <x v="432"/>
    <x v="140"/>
    <x v="578"/>
    <x v="49"/>
    <x v="180"/>
    <x v="7"/>
  </r>
  <r>
    <x v="0"/>
    <x v="50"/>
    <x v="50"/>
    <x v="0"/>
    <x v="0"/>
    <x v="0"/>
    <x v="1"/>
    <x v="180"/>
    <x v="402"/>
    <x v="88"/>
    <x v="579"/>
    <x v="235"/>
    <x v="291"/>
    <x v="7"/>
  </r>
  <r>
    <x v="0"/>
    <x v="50"/>
    <x v="50"/>
    <x v="1"/>
    <x v="1"/>
    <x v="1"/>
    <x v="2"/>
    <x v="83"/>
    <x v="510"/>
    <x v="254"/>
    <x v="580"/>
    <x v="138"/>
    <x v="45"/>
    <x v="7"/>
  </r>
  <r>
    <x v="0"/>
    <x v="50"/>
    <x v="50"/>
    <x v="5"/>
    <x v="5"/>
    <x v="5"/>
    <x v="3"/>
    <x v="181"/>
    <x v="487"/>
    <x v="104"/>
    <x v="581"/>
    <x v="101"/>
    <x v="499"/>
    <x v="7"/>
  </r>
  <r>
    <x v="0"/>
    <x v="50"/>
    <x v="50"/>
    <x v="8"/>
    <x v="8"/>
    <x v="8"/>
    <x v="4"/>
    <x v="265"/>
    <x v="511"/>
    <x v="94"/>
    <x v="150"/>
    <x v="79"/>
    <x v="492"/>
    <x v="7"/>
  </r>
  <r>
    <x v="0"/>
    <x v="50"/>
    <x v="50"/>
    <x v="4"/>
    <x v="4"/>
    <x v="4"/>
    <x v="5"/>
    <x v="196"/>
    <x v="399"/>
    <x v="56"/>
    <x v="32"/>
    <x v="100"/>
    <x v="312"/>
    <x v="7"/>
  </r>
  <r>
    <x v="0"/>
    <x v="50"/>
    <x v="50"/>
    <x v="3"/>
    <x v="3"/>
    <x v="3"/>
    <x v="5"/>
    <x v="196"/>
    <x v="399"/>
    <x v="96"/>
    <x v="158"/>
    <x v="136"/>
    <x v="500"/>
    <x v="7"/>
  </r>
  <r>
    <x v="0"/>
    <x v="50"/>
    <x v="50"/>
    <x v="6"/>
    <x v="6"/>
    <x v="6"/>
    <x v="7"/>
    <x v="71"/>
    <x v="215"/>
    <x v="136"/>
    <x v="582"/>
    <x v="190"/>
    <x v="96"/>
    <x v="7"/>
  </r>
  <r>
    <x v="0"/>
    <x v="50"/>
    <x v="50"/>
    <x v="10"/>
    <x v="10"/>
    <x v="10"/>
    <x v="8"/>
    <x v="90"/>
    <x v="435"/>
    <x v="89"/>
    <x v="279"/>
    <x v="142"/>
    <x v="289"/>
    <x v="7"/>
  </r>
  <r>
    <x v="0"/>
    <x v="50"/>
    <x v="50"/>
    <x v="9"/>
    <x v="9"/>
    <x v="9"/>
    <x v="9"/>
    <x v="73"/>
    <x v="509"/>
    <x v="68"/>
    <x v="256"/>
    <x v="237"/>
    <x v="501"/>
    <x v="7"/>
  </r>
  <r>
    <x v="0"/>
    <x v="50"/>
    <x v="50"/>
    <x v="15"/>
    <x v="15"/>
    <x v="15"/>
    <x v="10"/>
    <x v="155"/>
    <x v="393"/>
    <x v="51"/>
    <x v="214"/>
    <x v="142"/>
    <x v="289"/>
    <x v="7"/>
  </r>
  <r>
    <x v="0"/>
    <x v="50"/>
    <x v="50"/>
    <x v="31"/>
    <x v="31"/>
    <x v="31"/>
    <x v="11"/>
    <x v="168"/>
    <x v="142"/>
    <x v="83"/>
    <x v="583"/>
    <x v="176"/>
    <x v="238"/>
    <x v="7"/>
  </r>
  <r>
    <x v="0"/>
    <x v="50"/>
    <x v="50"/>
    <x v="16"/>
    <x v="16"/>
    <x v="16"/>
    <x v="12"/>
    <x v="146"/>
    <x v="80"/>
    <x v="131"/>
    <x v="86"/>
    <x v="149"/>
    <x v="502"/>
    <x v="7"/>
  </r>
  <r>
    <x v="0"/>
    <x v="50"/>
    <x v="50"/>
    <x v="13"/>
    <x v="13"/>
    <x v="13"/>
    <x v="13"/>
    <x v="147"/>
    <x v="422"/>
    <x v="90"/>
    <x v="317"/>
    <x v="214"/>
    <x v="85"/>
    <x v="7"/>
  </r>
  <r>
    <x v="0"/>
    <x v="50"/>
    <x v="50"/>
    <x v="18"/>
    <x v="18"/>
    <x v="18"/>
    <x v="14"/>
    <x v="292"/>
    <x v="444"/>
    <x v="52"/>
    <x v="97"/>
    <x v="81"/>
    <x v="156"/>
    <x v="7"/>
  </r>
  <r>
    <x v="0"/>
    <x v="50"/>
    <x v="50"/>
    <x v="11"/>
    <x v="11"/>
    <x v="11"/>
    <x v="14"/>
    <x v="292"/>
    <x v="444"/>
    <x v="82"/>
    <x v="584"/>
    <x v="146"/>
    <x v="384"/>
    <x v="7"/>
  </r>
  <r>
    <x v="0"/>
    <x v="50"/>
    <x v="50"/>
    <x v="37"/>
    <x v="37"/>
    <x v="37"/>
    <x v="16"/>
    <x v="293"/>
    <x v="303"/>
    <x v="84"/>
    <x v="585"/>
    <x v="81"/>
    <x v="156"/>
    <x v="7"/>
  </r>
  <r>
    <x v="0"/>
    <x v="50"/>
    <x v="50"/>
    <x v="27"/>
    <x v="27"/>
    <x v="27"/>
    <x v="16"/>
    <x v="293"/>
    <x v="303"/>
    <x v="82"/>
    <x v="584"/>
    <x v="237"/>
    <x v="501"/>
    <x v="7"/>
  </r>
  <r>
    <x v="0"/>
    <x v="50"/>
    <x v="50"/>
    <x v="14"/>
    <x v="14"/>
    <x v="14"/>
    <x v="18"/>
    <x v="317"/>
    <x v="17"/>
    <x v="64"/>
    <x v="178"/>
    <x v="138"/>
    <x v="45"/>
    <x v="7"/>
  </r>
  <r>
    <x v="0"/>
    <x v="50"/>
    <x v="50"/>
    <x v="7"/>
    <x v="7"/>
    <x v="7"/>
    <x v="19"/>
    <x v="314"/>
    <x v="207"/>
    <x v="105"/>
    <x v="413"/>
    <x v="237"/>
    <x v="501"/>
    <x v="7"/>
  </r>
  <r>
    <x v="0"/>
    <x v="51"/>
    <x v="51"/>
    <x v="0"/>
    <x v="0"/>
    <x v="0"/>
    <x v="0"/>
    <x v="88"/>
    <x v="338"/>
    <x v="153"/>
    <x v="490"/>
    <x v="237"/>
    <x v="127"/>
    <x v="7"/>
  </r>
  <r>
    <x v="0"/>
    <x v="51"/>
    <x v="51"/>
    <x v="1"/>
    <x v="1"/>
    <x v="1"/>
    <x v="1"/>
    <x v="89"/>
    <x v="512"/>
    <x v="130"/>
    <x v="586"/>
    <x v="237"/>
    <x v="127"/>
    <x v="7"/>
  </r>
  <r>
    <x v="0"/>
    <x v="51"/>
    <x v="51"/>
    <x v="2"/>
    <x v="2"/>
    <x v="2"/>
    <x v="2"/>
    <x v="161"/>
    <x v="513"/>
    <x v="114"/>
    <x v="587"/>
    <x v="81"/>
    <x v="464"/>
    <x v="7"/>
  </r>
  <r>
    <x v="0"/>
    <x v="51"/>
    <x v="51"/>
    <x v="4"/>
    <x v="4"/>
    <x v="4"/>
    <x v="3"/>
    <x v="72"/>
    <x v="514"/>
    <x v="92"/>
    <x v="588"/>
    <x v="137"/>
    <x v="503"/>
    <x v="7"/>
  </r>
  <r>
    <x v="0"/>
    <x v="51"/>
    <x v="51"/>
    <x v="3"/>
    <x v="3"/>
    <x v="3"/>
    <x v="4"/>
    <x v="165"/>
    <x v="515"/>
    <x v="82"/>
    <x v="589"/>
    <x v="95"/>
    <x v="353"/>
    <x v="7"/>
  </r>
  <r>
    <x v="0"/>
    <x v="51"/>
    <x v="51"/>
    <x v="5"/>
    <x v="5"/>
    <x v="5"/>
    <x v="5"/>
    <x v="223"/>
    <x v="242"/>
    <x v="107"/>
    <x v="590"/>
    <x v="107"/>
    <x v="380"/>
    <x v="7"/>
  </r>
  <r>
    <x v="0"/>
    <x v="51"/>
    <x v="51"/>
    <x v="6"/>
    <x v="6"/>
    <x v="6"/>
    <x v="5"/>
    <x v="223"/>
    <x v="242"/>
    <x v="183"/>
    <x v="591"/>
    <x v="228"/>
    <x v="305"/>
    <x v="7"/>
  </r>
  <r>
    <x v="0"/>
    <x v="51"/>
    <x v="51"/>
    <x v="10"/>
    <x v="10"/>
    <x v="10"/>
    <x v="7"/>
    <x v="167"/>
    <x v="75"/>
    <x v="106"/>
    <x v="592"/>
    <x v="226"/>
    <x v="48"/>
    <x v="7"/>
  </r>
  <r>
    <x v="0"/>
    <x v="51"/>
    <x v="51"/>
    <x v="43"/>
    <x v="43"/>
    <x v="43"/>
    <x v="7"/>
    <x v="167"/>
    <x v="75"/>
    <x v="80"/>
    <x v="205"/>
    <x v="238"/>
    <x v="504"/>
    <x v="7"/>
  </r>
  <r>
    <x v="0"/>
    <x v="51"/>
    <x v="51"/>
    <x v="15"/>
    <x v="15"/>
    <x v="15"/>
    <x v="9"/>
    <x v="272"/>
    <x v="229"/>
    <x v="84"/>
    <x v="494"/>
    <x v="145"/>
    <x v="352"/>
    <x v="7"/>
  </r>
  <r>
    <x v="0"/>
    <x v="51"/>
    <x v="51"/>
    <x v="8"/>
    <x v="8"/>
    <x v="8"/>
    <x v="10"/>
    <x v="287"/>
    <x v="416"/>
    <x v="81"/>
    <x v="593"/>
    <x v="140"/>
    <x v="218"/>
    <x v="7"/>
  </r>
  <r>
    <x v="0"/>
    <x v="51"/>
    <x v="51"/>
    <x v="9"/>
    <x v="9"/>
    <x v="9"/>
    <x v="11"/>
    <x v="315"/>
    <x v="47"/>
    <x v="82"/>
    <x v="589"/>
    <x v="229"/>
    <x v="354"/>
    <x v="7"/>
  </r>
  <r>
    <x v="0"/>
    <x v="51"/>
    <x v="51"/>
    <x v="18"/>
    <x v="18"/>
    <x v="18"/>
    <x v="12"/>
    <x v="316"/>
    <x v="63"/>
    <x v="53"/>
    <x v="97"/>
    <x v="172"/>
    <x v="505"/>
    <x v="7"/>
  </r>
  <r>
    <x v="0"/>
    <x v="51"/>
    <x v="51"/>
    <x v="11"/>
    <x v="11"/>
    <x v="11"/>
    <x v="13"/>
    <x v="328"/>
    <x v="205"/>
    <x v="107"/>
    <x v="590"/>
    <x v="164"/>
    <x v="415"/>
    <x v="7"/>
  </r>
  <r>
    <x v="0"/>
    <x v="51"/>
    <x v="51"/>
    <x v="16"/>
    <x v="16"/>
    <x v="16"/>
    <x v="14"/>
    <x v="289"/>
    <x v="64"/>
    <x v="52"/>
    <x v="414"/>
    <x v="176"/>
    <x v="65"/>
    <x v="7"/>
  </r>
  <r>
    <x v="0"/>
    <x v="51"/>
    <x v="51"/>
    <x v="21"/>
    <x v="21"/>
    <x v="21"/>
    <x v="15"/>
    <x v="291"/>
    <x v="516"/>
    <x v="131"/>
    <x v="594"/>
    <x v="146"/>
    <x v="389"/>
    <x v="7"/>
  </r>
  <r>
    <x v="0"/>
    <x v="51"/>
    <x v="51"/>
    <x v="44"/>
    <x v="44"/>
    <x v="44"/>
    <x v="16"/>
    <x v="335"/>
    <x v="169"/>
    <x v="70"/>
    <x v="501"/>
    <x v="228"/>
    <x v="305"/>
    <x v="7"/>
  </r>
  <r>
    <x v="0"/>
    <x v="51"/>
    <x v="51"/>
    <x v="22"/>
    <x v="22"/>
    <x v="22"/>
    <x v="16"/>
    <x v="335"/>
    <x v="169"/>
    <x v="117"/>
    <x v="135"/>
    <x v="164"/>
    <x v="415"/>
    <x v="7"/>
  </r>
  <r>
    <x v="0"/>
    <x v="51"/>
    <x v="51"/>
    <x v="13"/>
    <x v="13"/>
    <x v="13"/>
    <x v="18"/>
    <x v="320"/>
    <x v="81"/>
    <x v="131"/>
    <x v="594"/>
    <x v="225"/>
    <x v="392"/>
    <x v="7"/>
  </r>
  <r>
    <x v="0"/>
    <x v="51"/>
    <x v="51"/>
    <x v="14"/>
    <x v="14"/>
    <x v="14"/>
    <x v="19"/>
    <x v="321"/>
    <x v="19"/>
    <x v="65"/>
    <x v="127"/>
    <x v="227"/>
    <x v="97"/>
    <x v="7"/>
  </r>
  <r>
    <x v="0"/>
    <x v="51"/>
    <x v="51"/>
    <x v="41"/>
    <x v="41"/>
    <x v="41"/>
    <x v="19"/>
    <x v="321"/>
    <x v="19"/>
    <x v="117"/>
    <x v="135"/>
    <x v="176"/>
    <x v="65"/>
    <x v="7"/>
  </r>
  <r>
    <x v="0"/>
    <x v="52"/>
    <x v="52"/>
    <x v="2"/>
    <x v="2"/>
    <x v="2"/>
    <x v="0"/>
    <x v="270"/>
    <x v="517"/>
    <x v="93"/>
    <x v="595"/>
    <x v="158"/>
    <x v="506"/>
    <x v="7"/>
  </r>
  <r>
    <x v="0"/>
    <x v="52"/>
    <x v="52"/>
    <x v="1"/>
    <x v="1"/>
    <x v="1"/>
    <x v="1"/>
    <x v="69"/>
    <x v="518"/>
    <x v="99"/>
    <x v="139"/>
    <x v="176"/>
    <x v="227"/>
    <x v="7"/>
  </r>
  <r>
    <x v="0"/>
    <x v="52"/>
    <x v="52"/>
    <x v="4"/>
    <x v="4"/>
    <x v="4"/>
    <x v="2"/>
    <x v="89"/>
    <x v="519"/>
    <x v="131"/>
    <x v="316"/>
    <x v="80"/>
    <x v="507"/>
    <x v="1"/>
  </r>
  <r>
    <x v="0"/>
    <x v="52"/>
    <x v="52"/>
    <x v="0"/>
    <x v="0"/>
    <x v="0"/>
    <x v="3"/>
    <x v="286"/>
    <x v="470"/>
    <x v="221"/>
    <x v="596"/>
    <x v="146"/>
    <x v="508"/>
    <x v="7"/>
  </r>
  <r>
    <x v="0"/>
    <x v="52"/>
    <x v="52"/>
    <x v="3"/>
    <x v="3"/>
    <x v="3"/>
    <x v="4"/>
    <x v="157"/>
    <x v="508"/>
    <x v="94"/>
    <x v="575"/>
    <x v="107"/>
    <x v="509"/>
    <x v="7"/>
  </r>
  <r>
    <x v="0"/>
    <x v="52"/>
    <x v="52"/>
    <x v="6"/>
    <x v="6"/>
    <x v="6"/>
    <x v="5"/>
    <x v="167"/>
    <x v="364"/>
    <x v="124"/>
    <x v="597"/>
    <x v="235"/>
    <x v="44"/>
    <x v="7"/>
  </r>
  <r>
    <x v="0"/>
    <x v="52"/>
    <x v="52"/>
    <x v="5"/>
    <x v="5"/>
    <x v="5"/>
    <x v="6"/>
    <x v="168"/>
    <x v="173"/>
    <x v="131"/>
    <x v="316"/>
    <x v="145"/>
    <x v="510"/>
    <x v="7"/>
  </r>
  <r>
    <x v="0"/>
    <x v="52"/>
    <x v="52"/>
    <x v="9"/>
    <x v="9"/>
    <x v="9"/>
    <x v="7"/>
    <x v="333"/>
    <x v="341"/>
    <x v="104"/>
    <x v="598"/>
    <x v="238"/>
    <x v="511"/>
    <x v="7"/>
  </r>
  <r>
    <x v="0"/>
    <x v="52"/>
    <x v="52"/>
    <x v="22"/>
    <x v="22"/>
    <x v="22"/>
    <x v="8"/>
    <x v="292"/>
    <x v="332"/>
    <x v="65"/>
    <x v="136"/>
    <x v="164"/>
    <x v="270"/>
    <x v="11"/>
  </r>
  <r>
    <x v="0"/>
    <x v="52"/>
    <x v="52"/>
    <x v="8"/>
    <x v="8"/>
    <x v="8"/>
    <x v="9"/>
    <x v="293"/>
    <x v="202"/>
    <x v="64"/>
    <x v="202"/>
    <x v="107"/>
    <x v="509"/>
    <x v="7"/>
  </r>
  <r>
    <x v="0"/>
    <x v="52"/>
    <x v="52"/>
    <x v="15"/>
    <x v="15"/>
    <x v="15"/>
    <x v="10"/>
    <x v="287"/>
    <x v="520"/>
    <x v="70"/>
    <x v="599"/>
    <x v="66"/>
    <x v="500"/>
    <x v="7"/>
  </r>
  <r>
    <x v="0"/>
    <x v="52"/>
    <x v="52"/>
    <x v="16"/>
    <x v="16"/>
    <x v="16"/>
    <x v="11"/>
    <x v="314"/>
    <x v="78"/>
    <x v="84"/>
    <x v="319"/>
    <x v="172"/>
    <x v="60"/>
    <x v="7"/>
  </r>
  <r>
    <x v="0"/>
    <x v="52"/>
    <x v="52"/>
    <x v="10"/>
    <x v="10"/>
    <x v="10"/>
    <x v="12"/>
    <x v="316"/>
    <x v="231"/>
    <x v="123"/>
    <x v="600"/>
    <x v="226"/>
    <x v="49"/>
    <x v="7"/>
  </r>
  <r>
    <x v="0"/>
    <x v="52"/>
    <x v="52"/>
    <x v="7"/>
    <x v="7"/>
    <x v="7"/>
    <x v="13"/>
    <x v="290"/>
    <x v="232"/>
    <x v="51"/>
    <x v="451"/>
    <x v="237"/>
    <x v="293"/>
    <x v="7"/>
  </r>
  <r>
    <x v="0"/>
    <x v="52"/>
    <x v="52"/>
    <x v="11"/>
    <x v="11"/>
    <x v="11"/>
    <x v="14"/>
    <x v="336"/>
    <x v="82"/>
    <x v="131"/>
    <x v="316"/>
    <x v="229"/>
    <x v="512"/>
    <x v="7"/>
  </r>
  <r>
    <x v="0"/>
    <x v="52"/>
    <x v="52"/>
    <x v="12"/>
    <x v="12"/>
    <x v="12"/>
    <x v="15"/>
    <x v="330"/>
    <x v="236"/>
    <x v="67"/>
    <x v="17"/>
    <x v="235"/>
    <x v="44"/>
    <x v="7"/>
  </r>
  <r>
    <x v="0"/>
    <x v="52"/>
    <x v="52"/>
    <x v="27"/>
    <x v="27"/>
    <x v="27"/>
    <x v="16"/>
    <x v="331"/>
    <x v="285"/>
    <x v="84"/>
    <x v="319"/>
    <x v="164"/>
    <x v="270"/>
    <x v="7"/>
  </r>
  <r>
    <x v="0"/>
    <x v="52"/>
    <x v="52"/>
    <x v="21"/>
    <x v="21"/>
    <x v="21"/>
    <x v="17"/>
    <x v="337"/>
    <x v="467"/>
    <x v="53"/>
    <x v="55"/>
    <x v="228"/>
    <x v="125"/>
    <x v="7"/>
  </r>
  <r>
    <x v="0"/>
    <x v="52"/>
    <x v="52"/>
    <x v="44"/>
    <x v="44"/>
    <x v="44"/>
    <x v="18"/>
    <x v="338"/>
    <x v="368"/>
    <x v="84"/>
    <x v="319"/>
    <x v="229"/>
    <x v="512"/>
    <x v="7"/>
  </r>
  <r>
    <x v="0"/>
    <x v="52"/>
    <x v="52"/>
    <x v="18"/>
    <x v="18"/>
    <x v="18"/>
    <x v="18"/>
    <x v="338"/>
    <x v="368"/>
    <x v="57"/>
    <x v="276"/>
    <x v="237"/>
    <x v="293"/>
    <x v="7"/>
  </r>
  <r>
    <x v="0"/>
    <x v="52"/>
    <x v="52"/>
    <x v="41"/>
    <x v="41"/>
    <x v="41"/>
    <x v="18"/>
    <x v="338"/>
    <x v="368"/>
    <x v="65"/>
    <x v="136"/>
    <x v="146"/>
    <x v="508"/>
    <x v="7"/>
  </r>
  <r>
    <x v="0"/>
    <x v="53"/>
    <x v="53"/>
    <x v="1"/>
    <x v="1"/>
    <x v="1"/>
    <x v="0"/>
    <x v="65"/>
    <x v="521"/>
    <x v="249"/>
    <x v="601"/>
    <x v="223"/>
    <x v="269"/>
    <x v="7"/>
  </r>
  <r>
    <x v="0"/>
    <x v="53"/>
    <x v="53"/>
    <x v="5"/>
    <x v="5"/>
    <x v="5"/>
    <x v="1"/>
    <x v="204"/>
    <x v="522"/>
    <x v="107"/>
    <x v="126"/>
    <x v="170"/>
    <x v="513"/>
    <x v="7"/>
  </r>
  <r>
    <x v="0"/>
    <x v="53"/>
    <x v="53"/>
    <x v="2"/>
    <x v="2"/>
    <x v="2"/>
    <x v="2"/>
    <x v="66"/>
    <x v="523"/>
    <x v="192"/>
    <x v="602"/>
    <x v="143"/>
    <x v="38"/>
    <x v="7"/>
  </r>
  <r>
    <x v="0"/>
    <x v="53"/>
    <x v="53"/>
    <x v="0"/>
    <x v="0"/>
    <x v="0"/>
    <x v="3"/>
    <x v="265"/>
    <x v="488"/>
    <x v="211"/>
    <x v="603"/>
    <x v="226"/>
    <x v="163"/>
    <x v="7"/>
  </r>
  <r>
    <x v="0"/>
    <x v="53"/>
    <x v="53"/>
    <x v="8"/>
    <x v="8"/>
    <x v="8"/>
    <x v="4"/>
    <x v="68"/>
    <x v="524"/>
    <x v="131"/>
    <x v="528"/>
    <x v="159"/>
    <x v="514"/>
    <x v="7"/>
  </r>
  <r>
    <x v="0"/>
    <x v="53"/>
    <x v="53"/>
    <x v="4"/>
    <x v="4"/>
    <x v="4"/>
    <x v="5"/>
    <x v="87"/>
    <x v="525"/>
    <x v="70"/>
    <x v="334"/>
    <x v="53"/>
    <x v="515"/>
    <x v="7"/>
  </r>
  <r>
    <x v="0"/>
    <x v="53"/>
    <x v="53"/>
    <x v="15"/>
    <x v="15"/>
    <x v="15"/>
    <x v="6"/>
    <x v="162"/>
    <x v="215"/>
    <x v="56"/>
    <x v="604"/>
    <x v="72"/>
    <x v="343"/>
    <x v="7"/>
  </r>
  <r>
    <x v="0"/>
    <x v="53"/>
    <x v="53"/>
    <x v="3"/>
    <x v="3"/>
    <x v="3"/>
    <x v="7"/>
    <x v="163"/>
    <x v="201"/>
    <x v="104"/>
    <x v="517"/>
    <x v="107"/>
    <x v="110"/>
    <x v="7"/>
  </r>
  <r>
    <x v="0"/>
    <x v="53"/>
    <x v="53"/>
    <x v="10"/>
    <x v="10"/>
    <x v="10"/>
    <x v="8"/>
    <x v="58"/>
    <x v="9"/>
    <x v="69"/>
    <x v="556"/>
    <x v="95"/>
    <x v="411"/>
    <x v="7"/>
  </r>
  <r>
    <x v="0"/>
    <x v="53"/>
    <x v="53"/>
    <x v="6"/>
    <x v="6"/>
    <x v="6"/>
    <x v="9"/>
    <x v="154"/>
    <x v="108"/>
    <x v="89"/>
    <x v="605"/>
    <x v="226"/>
    <x v="163"/>
    <x v="7"/>
  </r>
  <r>
    <x v="0"/>
    <x v="53"/>
    <x v="53"/>
    <x v="9"/>
    <x v="9"/>
    <x v="9"/>
    <x v="10"/>
    <x v="327"/>
    <x v="93"/>
    <x v="154"/>
    <x v="446"/>
    <x v="164"/>
    <x v="427"/>
    <x v="7"/>
  </r>
  <r>
    <x v="0"/>
    <x v="53"/>
    <x v="53"/>
    <x v="16"/>
    <x v="16"/>
    <x v="16"/>
    <x v="11"/>
    <x v="157"/>
    <x v="459"/>
    <x v="84"/>
    <x v="119"/>
    <x v="68"/>
    <x v="421"/>
    <x v="7"/>
  </r>
  <r>
    <x v="0"/>
    <x v="53"/>
    <x v="53"/>
    <x v="34"/>
    <x v="34"/>
    <x v="34"/>
    <x v="12"/>
    <x v="333"/>
    <x v="79"/>
    <x v="124"/>
    <x v="96"/>
    <x v="164"/>
    <x v="427"/>
    <x v="7"/>
  </r>
  <r>
    <x v="0"/>
    <x v="53"/>
    <x v="53"/>
    <x v="18"/>
    <x v="18"/>
    <x v="18"/>
    <x v="13"/>
    <x v="273"/>
    <x v="233"/>
    <x v="48"/>
    <x v="355"/>
    <x v="81"/>
    <x v="315"/>
    <x v="7"/>
  </r>
  <r>
    <x v="0"/>
    <x v="53"/>
    <x v="53"/>
    <x v="11"/>
    <x v="11"/>
    <x v="11"/>
    <x v="14"/>
    <x v="292"/>
    <x v="33"/>
    <x v="74"/>
    <x v="373"/>
    <x v="224"/>
    <x v="328"/>
    <x v="7"/>
  </r>
  <r>
    <x v="0"/>
    <x v="53"/>
    <x v="53"/>
    <x v="17"/>
    <x v="17"/>
    <x v="17"/>
    <x v="15"/>
    <x v="315"/>
    <x v="169"/>
    <x v="52"/>
    <x v="71"/>
    <x v="190"/>
    <x v="158"/>
    <x v="7"/>
  </r>
  <r>
    <x v="0"/>
    <x v="53"/>
    <x v="53"/>
    <x v="22"/>
    <x v="22"/>
    <x v="22"/>
    <x v="15"/>
    <x v="315"/>
    <x v="169"/>
    <x v="117"/>
    <x v="135"/>
    <x v="171"/>
    <x v="210"/>
    <x v="7"/>
  </r>
  <r>
    <x v="0"/>
    <x v="53"/>
    <x v="53"/>
    <x v="37"/>
    <x v="37"/>
    <x v="37"/>
    <x v="17"/>
    <x v="328"/>
    <x v="18"/>
    <x v="53"/>
    <x v="262"/>
    <x v="190"/>
    <x v="158"/>
    <x v="7"/>
  </r>
  <r>
    <x v="0"/>
    <x v="53"/>
    <x v="53"/>
    <x v="13"/>
    <x v="13"/>
    <x v="13"/>
    <x v="17"/>
    <x v="328"/>
    <x v="18"/>
    <x v="48"/>
    <x v="355"/>
    <x v="176"/>
    <x v="52"/>
    <x v="7"/>
  </r>
  <r>
    <x v="0"/>
    <x v="53"/>
    <x v="53"/>
    <x v="21"/>
    <x v="21"/>
    <x v="21"/>
    <x v="17"/>
    <x v="328"/>
    <x v="18"/>
    <x v="123"/>
    <x v="228"/>
    <x v="224"/>
    <x v="328"/>
    <x v="7"/>
  </r>
  <r>
    <x v="0"/>
    <x v="54"/>
    <x v="54"/>
    <x v="2"/>
    <x v="2"/>
    <x v="2"/>
    <x v="0"/>
    <x v="51"/>
    <x v="526"/>
    <x v="145"/>
    <x v="308"/>
    <x v="49"/>
    <x v="516"/>
    <x v="7"/>
  </r>
  <r>
    <x v="0"/>
    <x v="54"/>
    <x v="54"/>
    <x v="1"/>
    <x v="1"/>
    <x v="1"/>
    <x v="1"/>
    <x v="52"/>
    <x v="460"/>
    <x v="153"/>
    <x v="174"/>
    <x v="149"/>
    <x v="369"/>
    <x v="7"/>
  </r>
  <r>
    <x v="0"/>
    <x v="54"/>
    <x v="54"/>
    <x v="4"/>
    <x v="4"/>
    <x v="4"/>
    <x v="2"/>
    <x v="334"/>
    <x v="527"/>
    <x v="48"/>
    <x v="606"/>
    <x v="92"/>
    <x v="517"/>
    <x v="7"/>
  </r>
  <r>
    <x v="0"/>
    <x v="54"/>
    <x v="54"/>
    <x v="6"/>
    <x v="6"/>
    <x v="6"/>
    <x v="3"/>
    <x v="144"/>
    <x v="445"/>
    <x v="195"/>
    <x v="607"/>
    <x v="214"/>
    <x v="518"/>
    <x v="7"/>
  </r>
  <r>
    <x v="0"/>
    <x v="54"/>
    <x v="54"/>
    <x v="0"/>
    <x v="0"/>
    <x v="0"/>
    <x v="4"/>
    <x v="164"/>
    <x v="528"/>
    <x v="97"/>
    <x v="608"/>
    <x v="216"/>
    <x v="206"/>
    <x v="1"/>
  </r>
  <r>
    <x v="0"/>
    <x v="54"/>
    <x v="54"/>
    <x v="3"/>
    <x v="3"/>
    <x v="3"/>
    <x v="5"/>
    <x v="188"/>
    <x v="529"/>
    <x v="90"/>
    <x v="168"/>
    <x v="222"/>
    <x v="519"/>
    <x v="7"/>
  </r>
  <r>
    <x v="0"/>
    <x v="54"/>
    <x v="54"/>
    <x v="5"/>
    <x v="5"/>
    <x v="5"/>
    <x v="6"/>
    <x v="146"/>
    <x v="530"/>
    <x v="64"/>
    <x v="319"/>
    <x v="142"/>
    <x v="405"/>
    <x v="7"/>
  </r>
  <r>
    <x v="0"/>
    <x v="54"/>
    <x v="54"/>
    <x v="7"/>
    <x v="7"/>
    <x v="7"/>
    <x v="7"/>
    <x v="292"/>
    <x v="531"/>
    <x v="92"/>
    <x v="297"/>
    <x v="176"/>
    <x v="520"/>
    <x v="7"/>
  </r>
  <r>
    <x v="0"/>
    <x v="54"/>
    <x v="54"/>
    <x v="8"/>
    <x v="8"/>
    <x v="8"/>
    <x v="8"/>
    <x v="293"/>
    <x v="421"/>
    <x v="53"/>
    <x v="169"/>
    <x v="149"/>
    <x v="369"/>
    <x v="7"/>
  </r>
  <r>
    <x v="0"/>
    <x v="54"/>
    <x v="54"/>
    <x v="10"/>
    <x v="10"/>
    <x v="10"/>
    <x v="9"/>
    <x v="294"/>
    <x v="9"/>
    <x v="90"/>
    <x v="168"/>
    <x v="171"/>
    <x v="443"/>
    <x v="7"/>
  </r>
  <r>
    <x v="0"/>
    <x v="54"/>
    <x v="54"/>
    <x v="12"/>
    <x v="12"/>
    <x v="12"/>
    <x v="10"/>
    <x v="287"/>
    <x v="164"/>
    <x v="65"/>
    <x v="391"/>
    <x v="145"/>
    <x v="463"/>
    <x v="7"/>
  </r>
  <r>
    <x v="0"/>
    <x v="54"/>
    <x v="54"/>
    <x v="14"/>
    <x v="14"/>
    <x v="14"/>
    <x v="11"/>
    <x v="315"/>
    <x v="62"/>
    <x v="117"/>
    <x v="135"/>
    <x v="149"/>
    <x v="369"/>
    <x v="7"/>
  </r>
  <r>
    <x v="0"/>
    <x v="54"/>
    <x v="54"/>
    <x v="9"/>
    <x v="9"/>
    <x v="9"/>
    <x v="12"/>
    <x v="288"/>
    <x v="30"/>
    <x v="148"/>
    <x v="368"/>
    <x v="238"/>
    <x v="521"/>
    <x v="7"/>
  </r>
  <r>
    <x v="0"/>
    <x v="54"/>
    <x v="54"/>
    <x v="13"/>
    <x v="13"/>
    <x v="13"/>
    <x v="13"/>
    <x v="289"/>
    <x v="334"/>
    <x v="64"/>
    <x v="319"/>
    <x v="216"/>
    <x v="206"/>
    <x v="7"/>
  </r>
  <r>
    <x v="0"/>
    <x v="54"/>
    <x v="54"/>
    <x v="19"/>
    <x v="19"/>
    <x v="19"/>
    <x v="14"/>
    <x v="291"/>
    <x v="80"/>
    <x v="54"/>
    <x v="117"/>
    <x v="171"/>
    <x v="443"/>
    <x v="7"/>
  </r>
  <r>
    <x v="0"/>
    <x v="54"/>
    <x v="54"/>
    <x v="11"/>
    <x v="11"/>
    <x v="11"/>
    <x v="15"/>
    <x v="329"/>
    <x v="234"/>
    <x v="48"/>
    <x v="606"/>
    <x v="237"/>
    <x v="522"/>
    <x v="7"/>
  </r>
  <r>
    <x v="0"/>
    <x v="54"/>
    <x v="54"/>
    <x v="27"/>
    <x v="27"/>
    <x v="27"/>
    <x v="16"/>
    <x v="336"/>
    <x v="260"/>
    <x v="48"/>
    <x v="606"/>
    <x v="164"/>
    <x v="247"/>
    <x v="7"/>
  </r>
  <r>
    <x v="0"/>
    <x v="54"/>
    <x v="54"/>
    <x v="18"/>
    <x v="18"/>
    <x v="18"/>
    <x v="17"/>
    <x v="330"/>
    <x v="84"/>
    <x v="57"/>
    <x v="190"/>
    <x v="224"/>
    <x v="523"/>
    <x v="7"/>
  </r>
  <r>
    <x v="0"/>
    <x v="54"/>
    <x v="54"/>
    <x v="20"/>
    <x v="20"/>
    <x v="20"/>
    <x v="18"/>
    <x v="331"/>
    <x v="132"/>
    <x v="117"/>
    <x v="135"/>
    <x v="223"/>
    <x v="524"/>
    <x v="7"/>
  </r>
  <r>
    <x v="0"/>
    <x v="54"/>
    <x v="54"/>
    <x v="21"/>
    <x v="21"/>
    <x v="21"/>
    <x v="19"/>
    <x v="337"/>
    <x v="147"/>
    <x v="54"/>
    <x v="117"/>
    <x v="228"/>
    <x v="239"/>
    <x v="7"/>
  </r>
  <r>
    <x v="0"/>
    <x v="55"/>
    <x v="55"/>
    <x v="1"/>
    <x v="1"/>
    <x v="1"/>
    <x v="0"/>
    <x v="198"/>
    <x v="532"/>
    <x v="149"/>
    <x v="609"/>
    <x v="228"/>
    <x v="397"/>
    <x v="7"/>
  </r>
  <r>
    <x v="0"/>
    <x v="55"/>
    <x v="55"/>
    <x v="3"/>
    <x v="3"/>
    <x v="3"/>
    <x v="1"/>
    <x v="58"/>
    <x v="533"/>
    <x v="74"/>
    <x v="610"/>
    <x v="147"/>
    <x v="525"/>
    <x v="7"/>
  </r>
  <r>
    <x v="0"/>
    <x v="55"/>
    <x v="55"/>
    <x v="5"/>
    <x v="5"/>
    <x v="5"/>
    <x v="2"/>
    <x v="154"/>
    <x v="534"/>
    <x v="90"/>
    <x v="217"/>
    <x v="144"/>
    <x v="526"/>
    <x v="7"/>
  </r>
  <r>
    <x v="0"/>
    <x v="55"/>
    <x v="55"/>
    <x v="0"/>
    <x v="0"/>
    <x v="0"/>
    <x v="3"/>
    <x v="165"/>
    <x v="105"/>
    <x v="80"/>
    <x v="611"/>
    <x v="146"/>
    <x v="311"/>
    <x v="7"/>
  </r>
  <r>
    <x v="0"/>
    <x v="55"/>
    <x v="55"/>
    <x v="4"/>
    <x v="4"/>
    <x v="4"/>
    <x v="4"/>
    <x v="155"/>
    <x v="528"/>
    <x v="84"/>
    <x v="336"/>
    <x v="137"/>
    <x v="202"/>
    <x v="7"/>
  </r>
  <r>
    <x v="0"/>
    <x v="55"/>
    <x v="55"/>
    <x v="6"/>
    <x v="6"/>
    <x v="6"/>
    <x v="5"/>
    <x v="156"/>
    <x v="524"/>
    <x v="159"/>
    <x v="612"/>
    <x v="226"/>
    <x v="266"/>
    <x v="7"/>
  </r>
  <r>
    <x v="0"/>
    <x v="55"/>
    <x v="55"/>
    <x v="8"/>
    <x v="8"/>
    <x v="8"/>
    <x v="6"/>
    <x v="292"/>
    <x v="242"/>
    <x v="64"/>
    <x v="93"/>
    <x v="149"/>
    <x v="273"/>
    <x v="7"/>
  </r>
  <r>
    <x v="0"/>
    <x v="55"/>
    <x v="55"/>
    <x v="10"/>
    <x v="10"/>
    <x v="10"/>
    <x v="7"/>
    <x v="317"/>
    <x v="201"/>
    <x v="94"/>
    <x v="613"/>
    <x v="226"/>
    <x v="266"/>
    <x v="7"/>
  </r>
  <r>
    <x v="0"/>
    <x v="55"/>
    <x v="55"/>
    <x v="12"/>
    <x v="12"/>
    <x v="12"/>
    <x v="8"/>
    <x v="314"/>
    <x v="331"/>
    <x v="54"/>
    <x v="459"/>
    <x v="95"/>
    <x v="527"/>
    <x v="7"/>
  </r>
  <r>
    <x v="0"/>
    <x v="55"/>
    <x v="55"/>
    <x v="9"/>
    <x v="9"/>
    <x v="9"/>
    <x v="9"/>
    <x v="315"/>
    <x v="535"/>
    <x v="95"/>
    <x v="614"/>
    <x v="240"/>
    <x v="528"/>
    <x v="7"/>
  </r>
  <r>
    <x v="0"/>
    <x v="55"/>
    <x v="55"/>
    <x v="2"/>
    <x v="2"/>
    <x v="2"/>
    <x v="10"/>
    <x v="328"/>
    <x v="108"/>
    <x v="57"/>
    <x v="160"/>
    <x v="214"/>
    <x v="298"/>
    <x v="7"/>
  </r>
  <r>
    <x v="0"/>
    <x v="55"/>
    <x v="55"/>
    <x v="7"/>
    <x v="7"/>
    <x v="7"/>
    <x v="11"/>
    <x v="290"/>
    <x v="61"/>
    <x v="123"/>
    <x v="615"/>
    <x v="146"/>
    <x v="311"/>
    <x v="7"/>
  </r>
  <r>
    <x v="0"/>
    <x v="55"/>
    <x v="55"/>
    <x v="16"/>
    <x v="16"/>
    <x v="16"/>
    <x v="12"/>
    <x v="291"/>
    <x v="46"/>
    <x v="54"/>
    <x v="459"/>
    <x v="171"/>
    <x v="159"/>
    <x v="7"/>
  </r>
  <r>
    <x v="0"/>
    <x v="55"/>
    <x v="55"/>
    <x v="15"/>
    <x v="15"/>
    <x v="15"/>
    <x v="13"/>
    <x v="329"/>
    <x v="79"/>
    <x v="54"/>
    <x v="459"/>
    <x v="226"/>
    <x v="266"/>
    <x v="7"/>
  </r>
  <r>
    <x v="0"/>
    <x v="55"/>
    <x v="55"/>
    <x v="14"/>
    <x v="14"/>
    <x v="14"/>
    <x v="13"/>
    <x v="329"/>
    <x v="79"/>
    <x v="54"/>
    <x v="459"/>
    <x v="226"/>
    <x v="266"/>
    <x v="7"/>
  </r>
  <r>
    <x v="0"/>
    <x v="55"/>
    <x v="55"/>
    <x v="30"/>
    <x v="30"/>
    <x v="30"/>
    <x v="15"/>
    <x v="330"/>
    <x v="169"/>
    <x v="57"/>
    <x v="160"/>
    <x v="224"/>
    <x v="300"/>
    <x v="7"/>
  </r>
  <r>
    <x v="0"/>
    <x v="55"/>
    <x v="55"/>
    <x v="13"/>
    <x v="13"/>
    <x v="13"/>
    <x v="15"/>
    <x v="330"/>
    <x v="169"/>
    <x v="81"/>
    <x v="616"/>
    <x v="229"/>
    <x v="25"/>
    <x v="7"/>
  </r>
  <r>
    <x v="0"/>
    <x v="55"/>
    <x v="55"/>
    <x v="11"/>
    <x v="11"/>
    <x v="11"/>
    <x v="17"/>
    <x v="331"/>
    <x v="116"/>
    <x v="70"/>
    <x v="183"/>
    <x v="240"/>
    <x v="528"/>
    <x v="7"/>
  </r>
  <r>
    <x v="0"/>
    <x v="55"/>
    <x v="55"/>
    <x v="27"/>
    <x v="27"/>
    <x v="27"/>
    <x v="17"/>
    <x v="331"/>
    <x v="116"/>
    <x v="81"/>
    <x v="616"/>
    <x v="238"/>
    <x v="529"/>
    <x v="7"/>
  </r>
  <r>
    <x v="0"/>
    <x v="55"/>
    <x v="55"/>
    <x v="20"/>
    <x v="20"/>
    <x v="20"/>
    <x v="19"/>
    <x v="337"/>
    <x v="247"/>
    <x v="117"/>
    <x v="135"/>
    <x v="235"/>
    <x v="45"/>
    <x v="7"/>
  </r>
  <r>
    <x v="0"/>
    <x v="56"/>
    <x v="56"/>
    <x v="2"/>
    <x v="2"/>
    <x v="2"/>
    <x v="0"/>
    <x v="156"/>
    <x v="536"/>
    <x v="159"/>
    <x v="617"/>
    <x v="226"/>
    <x v="530"/>
    <x v="7"/>
  </r>
  <r>
    <x v="0"/>
    <x v="56"/>
    <x v="56"/>
    <x v="0"/>
    <x v="0"/>
    <x v="0"/>
    <x v="1"/>
    <x v="333"/>
    <x v="537"/>
    <x v="83"/>
    <x v="618"/>
    <x v="235"/>
    <x v="26"/>
    <x v="7"/>
  </r>
  <r>
    <x v="0"/>
    <x v="56"/>
    <x v="56"/>
    <x v="24"/>
    <x v="24"/>
    <x v="24"/>
    <x v="2"/>
    <x v="314"/>
    <x v="538"/>
    <x v="57"/>
    <x v="71"/>
    <x v="107"/>
    <x v="531"/>
    <x v="7"/>
  </r>
  <r>
    <x v="0"/>
    <x v="56"/>
    <x v="56"/>
    <x v="1"/>
    <x v="1"/>
    <x v="1"/>
    <x v="3"/>
    <x v="315"/>
    <x v="470"/>
    <x v="74"/>
    <x v="619"/>
    <x v="164"/>
    <x v="412"/>
    <x v="7"/>
  </r>
  <r>
    <x v="0"/>
    <x v="56"/>
    <x v="56"/>
    <x v="5"/>
    <x v="5"/>
    <x v="5"/>
    <x v="4"/>
    <x v="335"/>
    <x v="539"/>
    <x v="52"/>
    <x v="620"/>
    <x v="235"/>
    <x v="26"/>
    <x v="7"/>
  </r>
  <r>
    <x v="0"/>
    <x v="56"/>
    <x v="56"/>
    <x v="3"/>
    <x v="3"/>
    <x v="3"/>
    <x v="5"/>
    <x v="320"/>
    <x v="88"/>
    <x v="64"/>
    <x v="542"/>
    <x v="235"/>
    <x v="26"/>
    <x v="7"/>
  </r>
  <r>
    <x v="0"/>
    <x v="56"/>
    <x v="56"/>
    <x v="10"/>
    <x v="10"/>
    <x v="10"/>
    <x v="6"/>
    <x v="336"/>
    <x v="91"/>
    <x v="53"/>
    <x v="573"/>
    <x v="146"/>
    <x v="532"/>
    <x v="7"/>
  </r>
  <r>
    <x v="0"/>
    <x v="56"/>
    <x v="56"/>
    <x v="12"/>
    <x v="12"/>
    <x v="12"/>
    <x v="7"/>
    <x v="330"/>
    <x v="490"/>
    <x v="54"/>
    <x v="362"/>
    <x v="146"/>
    <x v="532"/>
    <x v="7"/>
  </r>
  <r>
    <x v="0"/>
    <x v="56"/>
    <x v="56"/>
    <x v="4"/>
    <x v="4"/>
    <x v="4"/>
    <x v="8"/>
    <x v="337"/>
    <x v="61"/>
    <x v="57"/>
    <x v="71"/>
    <x v="146"/>
    <x v="532"/>
    <x v="7"/>
  </r>
  <r>
    <x v="0"/>
    <x v="56"/>
    <x v="56"/>
    <x v="8"/>
    <x v="8"/>
    <x v="8"/>
    <x v="8"/>
    <x v="337"/>
    <x v="61"/>
    <x v="57"/>
    <x v="71"/>
    <x v="146"/>
    <x v="532"/>
    <x v="7"/>
  </r>
  <r>
    <x v="0"/>
    <x v="56"/>
    <x v="56"/>
    <x v="7"/>
    <x v="7"/>
    <x v="7"/>
    <x v="10"/>
    <x v="338"/>
    <x v="46"/>
    <x v="84"/>
    <x v="621"/>
    <x v="229"/>
    <x v="28"/>
    <x v="7"/>
  </r>
  <r>
    <x v="0"/>
    <x v="56"/>
    <x v="56"/>
    <x v="6"/>
    <x v="6"/>
    <x v="6"/>
    <x v="11"/>
    <x v="340"/>
    <x v="95"/>
    <x v="64"/>
    <x v="542"/>
    <x v="239"/>
    <x v="533"/>
    <x v="7"/>
  </r>
  <r>
    <x v="0"/>
    <x v="56"/>
    <x v="56"/>
    <x v="35"/>
    <x v="35"/>
    <x v="35"/>
    <x v="12"/>
    <x v="341"/>
    <x v="540"/>
    <x v="67"/>
    <x v="622"/>
    <x v="225"/>
    <x v="70"/>
    <x v="7"/>
  </r>
  <r>
    <x v="0"/>
    <x v="56"/>
    <x v="56"/>
    <x v="18"/>
    <x v="18"/>
    <x v="18"/>
    <x v="12"/>
    <x v="341"/>
    <x v="540"/>
    <x v="117"/>
    <x v="135"/>
    <x v="236"/>
    <x v="534"/>
    <x v="7"/>
  </r>
  <r>
    <x v="0"/>
    <x v="56"/>
    <x v="56"/>
    <x v="17"/>
    <x v="17"/>
    <x v="17"/>
    <x v="12"/>
    <x v="341"/>
    <x v="540"/>
    <x v="117"/>
    <x v="135"/>
    <x v="236"/>
    <x v="534"/>
    <x v="7"/>
  </r>
  <r>
    <x v="0"/>
    <x v="56"/>
    <x v="56"/>
    <x v="11"/>
    <x v="11"/>
    <x v="11"/>
    <x v="12"/>
    <x v="341"/>
    <x v="540"/>
    <x v="64"/>
    <x v="542"/>
    <x v="239"/>
    <x v="533"/>
    <x v="7"/>
  </r>
  <r>
    <x v="0"/>
    <x v="56"/>
    <x v="56"/>
    <x v="19"/>
    <x v="19"/>
    <x v="19"/>
    <x v="12"/>
    <x v="341"/>
    <x v="540"/>
    <x v="54"/>
    <x v="362"/>
    <x v="229"/>
    <x v="28"/>
    <x v="7"/>
  </r>
  <r>
    <x v="0"/>
    <x v="56"/>
    <x v="56"/>
    <x v="16"/>
    <x v="16"/>
    <x v="16"/>
    <x v="17"/>
    <x v="342"/>
    <x v="271"/>
    <x v="117"/>
    <x v="135"/>
    <x v="228"/>
    <x v="206"/>
    <x v="7"/>
  </r>
  <r>
    <x v="0"/>
    <x v="56"/>
    <x v="56"/>
    <x v="13"/>
    <x v="13"/>
    <x v="13"/>
    <x v="17"/>
    <x v="342"/>
    <x v="271"/>
    <x v="54"/>
    <x v="362"/>
    <x v="238"/>
    <x v="318"/>
    <x v="7"/>
  </r>
  <r>
    <x v="0"/>
    <x v="56"/>
    <x v="56"/>
    <x v="9"/>
    <x v="9"/>
    <x v="9"/>
    <x v="17"/>
    <x v="342"/>
    <x v="271"/>
    <x v="64"/>
    <x v="542"/>
    <x v="240"/>
    <x v="535"/>
    <x v="7"/>
  </r>
  <r>
    <x v="0"/>
    <x v="56"/>
    <x v="56"/>
    <x v="27"/>
    <x v="27"/>
    <x v="27"/>
    <x v="17"/>
    <x v="342"/>
    <x v="271"/>
    <x v="53"/>
    <x v="573"/>
    <x v="239"/>
    <x v="533"/>
    <x v="7"/>
  </r>
  <r>
    <x v="0"/>
    <x v="56"/>
    <x v="56"/>
    <x v="20"/>
    <x v="20"/>
    <x v="20"/>
    <x v="17"/>
    <x v="342"/>
    <x v="271"/>
    <x v="117"/>
    <x v="135"/>
    <x v="228"/>
    <x v="206"/>
    <x v="7"/>
  </r>
  <r>
    <x v="0"/>
    <x v="57"/>
    <x v="57"/>
    <x v="0"/>
    <x v="0"/>
    <x v="0"/>
    <x v="0"/>
    <x v="293"/>
    <x v="209"/>
    <x v="106"/>
    <x v="623"/>
    <x v="229"/>
    <x v="64"/>
    <x v="1"/>
  </r>
  <r>
    <x v="0"/>
    <x v="57"/>
    <x v="57"/>
    <x v="16"/>
    <x v="16"/>
    <x v="16"/>
    <x v="1"/>
    <x v="314"/>
    <x v="327"/>
    <x v="67"/>
    <x v="456"/>
    <x v="81"/>
    <x v="536"/>
    <x v="7"/>
  </r>
  <r>
    <x v="0"/>
    <x v="57"/>
    <x v="57"/>
    <x v="5"/>
    <x v="5"/>
    <x v="5"/>
    <x v="2"/>
    <x v="315"/>
    <x v="275"/>
    <x v="48"/>
    <x v="344"/>
    <x v="66"/>
    <x v="537"/>
    <x v="7"/>
  </r>
  <r>
    <x v="0"/>
    <x v="57"/>
    <x v="57"/>
    <x v="1"/>
    <x v="1"/>
    <x v="1"/>
    <x v="2"/>
    <x v="315"/>
    <x v="275"/>
    <x v="83"/>
    <x v="512"/>
    <x v="238"/>
    <x v="538"/>
    <x v="7"/>
  </r>
  <r>
    <x v="0"/>
    <x v="57"/>
    <x v="57"/>
    <x v="4"/>
    <x v="4"/>
    <x v="4"/>
    <x v="4"/>
    <x v="291"/>
    <x v="541"/>
    <x v="64"/>
    <x v="31"/>
    <x v="227"/>
    <x v="539"/>
    <x v="7"/>
  </r>
  <r>
    <x v="0"/>
    <x v="57"/>
    <x v="57"/>
    <x v="6"/>
    <x v="6"/>
    <x v="6"/>
    <x v="4"/>
    <x v="291"/>
    <x v="541"/>
    <x v="90"/>
    <x v="296"/>
    <x v="225"/>
    <x v="302"/>
    <x v="7"/>
  </r>
  <r>
    <x v="0"/>
    <x v="57"/>
    <x v="57"/>
    <x v="18"/>
    <x v="18"/>
    <x v="18"/>
    <x v="6"/>
    <x v="335"/>
    <x v="242"/>
    <x v="54"/>
    <x v="624"/>
    <x v="227"/>
    <x v="539"/>
    <x v="7"/>
  </r>
  <r>
    <x v="0"/>
    <x v="57"/>
    <x v="57"/>
    <x v="3"/>
    <x v="3"/>
    <x v="3"/>
    <x v="7"/>
    <x v="320"/>
    <x v="89"/>
    <x v="53"/>
    <x v="346"/>
    <x v="224"/>
    <x v="3"/>
    <x v="7"/>
  </r>
  <r>
    <x v="0"/>
    <x v="57"/>
    <x v="57"/>
    <x v="8"/>
    <x v="8"/>
    <x v="8"/>
    <x v="8"/>
    <x v="336"/>
    <x v="202"/>
    <x v="117"/>
    <x v="135"/>
    <x v="227"/>
    <x v="539"/>
    <x v="7"/>
  </r>
  <r>
    <x v="0"/>
    <x v="57"/>
    <x v="57"/>
    <x v="15"/>
    <x v="15"/>
    <x v="15"/>
    <x v="8"/>
    <x v="336"/>
    <x v="202"/>
    <x v="67"/>
    <x v="456"/>
    <x v="224"/>
    <x v="3"/>
    <x v="7"/>
  </r>
  <r>
    <x v="0"/>
    <x v="57"/>
    <x v="57"/>
    <x v="27"/>
    <x v="27"/>
    <x v="27"/>
    <x v="10"/>
    <x v="337"/>
    <x v="459"/>
    <x v="48"/>
    <x v="344"/>
    <x v="238"/>
    <x v="538"/>
    <x v="7"/>
  </r>
  <r>
    <x v="0"/>
    <x v="57"/>
    <x v="57"/>
    <x v="11"/>
    <x v="11"/>
    <x v="11"/>
    <x v="11"/>
    <x v="338"/>
    <x v="113"/>
    <x v="54"/>
    <x v="624"/>
    <x v="228"/>
    <x v="300"/>
    <x v="7"/>
  </r>
  <r>
    <x v="0"/>
    <x v="57"/>
    <x v="57"/>
    <x v="10"/>
    <x v="10"/>
    <x v="10"/>
    <x v="11"/>
    <x v="338"/>
    <x v="113"/>
    <x v="52"/>
    <x v="625"/>
    <x v="238"/>
    <x v="538"/>
    <x v="7"/>
  </r>
  <r>
    <x v="0"/>
    <x v="57"/>
    <x v="57"/>
    <x v="9"/>
    <x v="9"/>
    <x v="9"/>
    <x v="11"/>
    <x v="338"/>
    <x v="113"/>
    <x v="48"/>
    <x v="344"/>
    <x v="239"/>
    <x v="161"/>
    <x v="7"/>
  </r>
  <r>
    <x v="0"/>
    <x v="57"/>
    <x v="57"/>
    <x v="22"/>
    <x v="22"/>
    <x v="22"/>
    <x v="11"/>
    <x v="338"/>
    <x v="113"/>
    <x v="117"/>
    <x v="135"/>
    <x v="236"/>
    <x v="0"/>
    <x v="7"/>
  </r>
  <r>
    <x v="0"/>
    <x v="57"/>
    <x v="57"/>
    <x v="12"/>
    <x v="12"/>
    <x v="12"/>
    <x v="15"/>
    <x v="343"/>
    <x v="542"/>
    <x v="57"/>
    <x v="401"/>
    <x v="236"/>
    <x v="0"/>
    <x v="7"/>
  </r>
  <r>
    <x v="0"/>
    <x v="57"/>
    <x v="57"/>
    <x v="2"/>
    <x v="2"/>
    <x v="2"/>
    <x v="16"/>
    <x v="340"/>
    <x v="115"/>
    <x v="57"/>
    <x v="401"/>
    <x v="228"/>
    <x v="300"/>
    <x v="7"/>
  </r>
  <r>
    <x v="0"/>
    <x v="57"/>
    <x v="57"/>
    <x v="14"/>
    <x v="14"/>
    <x v="14"/>
    <x v="17"/>
    <x v="341"/>
    <x v="234"/>
    <x v="65"/>
    <x v="131"/>
    <x v="228"/>
    <x v="300"/>
    <x v="7"/>
  </r>
  <r>
    <x v="0"/>
    <x v="57"/>
    <x v="57"/>
    <x v="13"/>
    <x v="13"/>
    <x v="13"/>
    <x v="17"/>
    <x v="341"/>
    <x v="234"/>
    <x v="53"/>
    <x v="346"/>
    <x v="238"/>
    <x v="538"/>
    <x v="7"/>
  </r>
  <r>
    <x v="0"/>
    <x v="57"/>
    <x v="57"/>
    <x v="33"/>
    <x v="33"/>
    <x v="33"/>
    <x v="19"/>
    <x v="342"/>
    <x v="18"/>
    <x v="67"/>
    <x v="456"/>
    <x v="229"/>
    <x v="64"/>
    <x v="7"/>
  </r>
  <r>
    <x v="0"/>
    <x v="57"/>
    <x v="57"/>
    <x v="21"/>
    <x v="21"/>
    <x v="21"/>
    <x v="19"/>
    <x v="342"/>
    <x v="18"/>
    <x v="54"/>
    <x v="624"/>
    <x v="238"/>
    <x v="538"/>
    <x v="7"/>
  </r>
  <r>
    <x v="0"/>
    <x v="58"/>
    <x v="58"/>
    <x v="0"/>
    <x v="0"/>
    <x v="0"/>
    <x v="0"/>
    <x v="143"/>
    <x v="543"/>
    <x v="255"/>
    <x v="626"/>
    <x v="225"/>
    <x v="44"/>
    <x v="7"/>
  </r>
  <r>
    <x v="0"/>
    <x v="58"/>
    <x v="58"/>
    <x v="1"/>
    <x v="1"/>
    <x v="1"/>
    <x v="1"/>
    <x v="88"/>
    <x v="544"/>
    <x v="130"/>
    <x v="627"/>
    <x v="235"/>
    <x v="287"/>
    <x v="7"/>
  </r>
  <r>
    <x v="0"/>
    <x v="58"/>
    <x v="58"/>
    <x v="2"/>
    <x v="2"/>
    <x v="2"/>
    <x v="2"/>
    <x v="157"/>
    <x v="545"/>
    <x v="124"/>
    <x v="628"/>
    <x v="223"/>
    <x v="540"/>
    <x v="7"/>
  </r>
  <r>
    <x v="0"/>
    <x v="58"/>
    <x v="58"/>
    <x v="6"/>
    <x v="6"/>
    <x v="6"/>
    <x v="2"/>
    <x v="157"/>
    <x v="545"/>
    <x v="159"/>
    <x v="629"/>
    <x v="229"/>
    <x v="82"/>
    <x v="7"/>
  </r>
  <r>
    <x v="0"/>
    <x v="58"/>
    <x v="58"/>
    <x v="3"/>
    <x v="3"/>
    <x v="3"/>
    <x v="4"/>
    <x v="294"/>
    <x v="23"/>
    <x v="51"/>
    <x v="384"/>
    <x v="216"/>
    <x v="541"/>
    <x v="7"/>
  </r>
  <r>
    <x v="0"/>
    <x v="58"/>
    <x v="58"/>
    <x v="9"/>
    <x v="9"/>
    <x v="9"/>
    <x v="5"/>
    <x v="328"/>
    <x v="6"/>
    <x v="82"/>
    <x v="359"/>
    <x v="240"/>
    <x v="375"/>
    <x v="7"/>
  </r>
  <r>
    <x v="0"/>
    <x v="58"/>
    <x v="58"/>
    <x v="5"/>
    <x v="5"/>
    <x v="5"/>
    <x v="6"/>
    <x v="319"/>
    <x v="123"/>
    <x v="131"/>
    <x v="630"/>
    <x v="237"/>
    <x v="63"/>
    <x v="7"/>
  </r>
  <r>
    <x v="0"/>
    <x v="58"/>
    <x v="58"/>
    <x v="4"/>
    <x v="4"/>
    <x v="4"/>
    <x v="7"/>
    <x v="335"/>
    <x v="29"/>
    <x v="57"/>
    <x v="190"/>
    <x v="171"/>
    <x v="542"/>
    <x v="7"/>
  </r>
  <r>
    <x v="0"/>
    <x v="58"/>
    <x v="58"/>
    <x v="12"/>
    <x v="12"/>
    <x v="12"/>
    <x v="8"/>
    <x v="329"/>
    <x v="44"/>
    <x v="53"/>
    <x v="429"/>
    <x v="223"/>
    <x v="540"/>
    <x v="7"/>
  </r>
  <r>
    <x v="0"/>
    <x v="58"/>
    <x v="58"/>
    <x v="10"/>
    <x v="10"/>
    <x v="10"/>
    <x v="8"/>
    <x v="329"/>
    <x v="44"/>
    <x v="48"/>
    <x v="631"/>
    <x v="237"/>
    <x v="63"/>
    <x v="7"/>
  </r>
  <r>
    <x v="0"/>
    <x v="58"/>
    <x v="58"/>
    <x v="15"/>
    <x v="15"/>
    <x v="15"/>
    <x v="10"/>
    <x v="321"/>
    <x v="546"/>
    <x v="64"/>
    <x v="632"/>
    <x v="146"/>
    <x v="393"/>
    <x v="7"/>
  </r>
  <r>
    <x v="0"/>
    <x v="58"/>
    <x v="58"/>
    <x v="21"/>
    <x v="21"/>
    <x v="21"/>
    <x v="10"/>
    <x v="321"/>
    <x v="546"/>
    <x v="81"/>
    <x v="633"/>
    <x v="164"/>
    <x v="543"/>
    <x v="7"/>
  </r>
  <r>
    <x v="0"/>
    <x v="58"/>
    <x v="58"/>
    <x v="11"/>
    <x v="11"/>
    <x v="11"/>
    <x v="12"/>
    <x v="336"/>
    <x v="547"/>
    <x v="123"/>
    <x v="270"/>
    <x v="239"/>
    <x v="325"/>
    <x v="7"/>
  </r>
  <r>
    <x v="0"/>
    <x v="58"/>
    <x v="58"/>
    <x v="13"/>
    <x v="13"/>
    <x v="13"/>
    <x v="12"/>
    <x v="336"/>
    <x v="547"/>
    <x v="81"/>
    <x v="633"/>
    <x v="225"/>
    <x v="44"/>
    <x v="7"/>
  </r>
  <r>
    <x v="0"/>
    <x v="58"/>
    <x v="58"/>
    <x v="7"/>
    <x v="7"/>
    <x v="7"/>
    <x v="14"/>
    <x v="330"/>
    <x v="548"/>
    <x v="70"/>
    <x v="634"/>
    <x v="239"/>
    <x v="325"/>
    <x v="7"/>
  </r>
  <r>
    <x v="0"/>
    <x v="58"/>
    <x v="58"/>
    <x v="16"/>
    <x v="16"/>
    <x v="16"/>
    <x v="15"/>
    <x v="337"/>
    <x v="66"/>
    <x v="57"/>
    <x v="190"/>
    <x v="146"/>
    <x v="393"/>
    <x v="7"/>
  </r>
  <r>
    <x v="0"/>
    <x v="58"/>
    <x v="58"/>
    <x v="8"/>
    <x v="8"/>
    <x v="8"/>
    <x v="16"/>
    <x v="338"/>
    <x v="234"/>
    <x v="57"/>
    <x v="190"/>
    <x v="237"/>
    <x v="63"/>
    <x v="7"/>
  </r>
  <r>
    <x v="0"/>
    <x v="58"/>
    <x v="58"/>
    <x v="19"/>
    <x v="19"/>
    <x v="19"/>
    <x v="17"/>
    <x v="343"/>
    <x v="16"/>
    <x v="65"/>
    <x v="53"/>
    <x v="237"/>
    <x v="63"/>
    <x v="7"/>
  </r>
  <r>
    <x v="0"/>
    <x v="58"/>
    <x v="58"/>
    <x v="14"/>
    <x v="14"/>
    <x v="14"/>
    <x v="18"/>
    <x v="340"/>
    <x v="219"/>
    <x v="57"/>
    <x v="190"/>
    <x v="228"/>
    <x v="110"/>
    <x v="7"/>
  </r>
  <r>
    <x v="0"/>
    <x v="58"/>
    <x v="58"/>
    <x v="18"/>
    <x v="18"/>
    <x v="18"/>
    <x v="19"/>
    <x v="341"/>
    <x v="497"/>
    <x v="57"/>
    <x v="190"/>
    <x v="164"/>
    <x v="543"/>
    <x v="7"/>
  </r>
  <r>
    <x v="0"/>
    <x v="59"/>
    <x v="59"/>
    <x v="2"/>
    <x v="2"/>
    <x v="2"/>
    <x v="0"/>
    <x v="152"/>
    <x v="549"/>
    <x v="219"/>
    <x v="635"/>
    <x v="107"/>
    <x v="544"/>
    <x v="7"/>
  </r>
  <r>
    <x v="0"/>
    <x v="59"/>
    <x v="59"/>
    <x v="8"/>
    <x v="8"/>
    <x v="8"/>
    <x v="1"/>
    <x v="327"/>
    <x v="550"/>
    <x v="65"/>
    <x v="69"/>
    <x v="87"/>
    <x v="545"/>
    <x v="7"/>
  </r>
  <r>
    <x v="0"/>
    <x v="59"/>
    <x v="59"/>
    <x v="0"/>
    <x v="0"/>
    <x v="0"/>
    <x v="1"/>
    <x v="327"/>
    <x v="550"/>
    <x v="162"/>
    <x v="636"/>
    <x v="238"/>
    <x v="258"/>
    <x v="7"/>
  </r>
  <r>
    <x v="0"/>
    <x v="59"/>
    <x v="59"/>
    <x v="1"/>
    <x v="1"/>
    <x v="1"/>
    <x v="1"/>
    <x v="327"/>
    <x v="550"/>
    <x v="183"/>
    <x v="637"/>
    <x v="236"/>
    <x v="376"/>
    <x v="7"/>
  </r>
  <r>
    <x v="0"/>
    <x v="59"/>
    <x v="59"/>
    <x v="5"/>
    <x v="5"/>
    <x v="5"/>
    <x v="4"/>
    <x v="168"/>
    <x v="87"/>
    <x v="64"/>
    <x v="323"/>
    <x v="144"/>
    <x v="546"/>
    <x v="7"/>
  </r>
  <r>
    <x v="0"/>
    <x v="59"/>
    <x v="59"/>
    <x v="4"/>
    <x v="4"/>
    <x v="4"/>
    <x v="5"/>
    <x v="294"/>
    <x v="551"/>
    <x v="84"/>
    <x v="638"/>
    <x v="95"/>
    <x v="547"/>
    <x v="7"/>
  </r>
  <r>
    <x v="0"/>
    <x v="59"/>
    <x v="59"/>
    <x v="6"/>
    <x v="6"/>
    <x v="6"/>
    <x v="6"/>
    <x v="315"/>
    <x v="251"/>
    <x v="105"/>
    <x v="639"/>
    <x v="225"/>
    <x v="173"/>
    <x v="4"/>
  </r>
  <r>
    <x v="0"/>
    <x v="59"/>
    <x v="59"/>
    <x v="3"/>
    <x v="3"/>
    <x v="3"/>
    <x v="7"/>
    <x v="318"/>
    <x v="92"/>
    <x v="90"/>
    <x v="430"/>
    <x v="228"/>
    <x v="311"/>
    <x v="7"/>
  </r>
  <r>
    <x v="0"/>
    <x v="59"/>
    <x v="59"/>
    <x v="16"/>
    <x v="16"/>
    <x v="16"/>
    <x v="8"/>
    <x v="331"/>
    <x v="128"/>
    <x v="67"/>
    <x v="39"/>
    <x v="146"/>
    <x v="374"/>
    <x v="7"/>
  </r>
  <r>
    <x v="0"/>
    <x v="59"/>
    <x v="59"/>
    <x v="14"/>
    <x v="14"/>
    <x v="14"/>
    <x v="8"/>
    <x v="331"/>
    <x v="128"/>
    <x v="65"/>
    <x v="69"/>
    <x v="224"/>
    <x v="548"/>
    <x v="7"/>
  </r>
  <r>
    <x v="0"/>
    <x v="59"/>
    <x v="59"/>
    <x v="10"/>
    <x v="10"/>
    <x v="10"/>
    <x v="8"/>
    <x v="331"/>
    <x v="128"/>
    <x v="81"/>
    <x v="640"/>
    <x v="238"/>
    <x v="258"/>
    <x v="7"/>
  </r>
  <r>
    <x v="0"/>
    <x v="59"/>
    <x v="59"/>
    <x v="15"/>
    <x v="15"/>
    <x v="15"/>
    <x v="11"/>
    <x v="337"/>
    <x v="206"/>
    <x v="64"/>
    <x v="323"/>
    <x v="164"/>
    <x v="302"/>
    <x v="7"/>
  </r>
  <r>
    <x v="0"/>
    <x v="59"/>
    <x v="59"/>
    <x v="17"/>
    <x v="17"/>
    <x v="17"/>
    <x v="11"/>
    <x v="337"/>
    <x v="206"/>
    <x v="57"/>
    <x v="390"/>
    <x v="146"/>
    <x v="374"/>
    <x v="7"/>
  </r>
  <r>
    <x v="0"/>
    <x v="59"/>
    <x v="59"/>
    <x v="31"/>
    <x v="31"/>
    <x v="31"/>
    <x v="13"/>
    <x v="343"/>
    <x v="67"/>
    <x v="64"/>
    <x v="323"/>
    <x v="229"/>
    <x v="152"/>
    <x v="7"/>
  </r>
  <r>
    <x v="0"/>
    <x v="59"/>
    <x v="59"/>
    <x v="7"/>
    <x v="7"/>
    <x v="7"/>
    <x v="13"/>
    <x v="343"/>
    <x v="67"/>
    <x v="53"/>
    <x v="162"/>
    <x v="225"/>
    <x v="173"/>
    <x v="7"/>
  </r>
  <r>
    <x v="0"/>
    <x v="59"/>
    <x v="59"/>
    <x v="11"/>
    <x v="11"/>
    <x v="11"/>
    <x v="15"/>
    <x v="340"/>
    <x v="69"/>
    <x v="64"/>
    <x v="323"/>
    <x v="238"/>
    <x v="258"/>
    <x v="7"/>
  </r>
  <r>
    <x v="0"/>
    <x v="59"/>
    <x v="59"/>
    <x v="19"/>
    <x v="19"/>
    <x v="19"/>
    <x v="15"/>
    <x v="340"/>
    <x v="69"/>
    <x v="67"/>
    <x v="39"/>
    <x v="164"/>
    <x v="302"/>
    <x v="7"/>
  </r>
  <r>
    <x v="0"/>
    <x v="59"/>
    <x v="59"/>
    <x v="27"/>
    <x v="27"/>
    <x v="27"/>
    <x v="15"/>
    <x v="340"/>
    <x v="69"/>
    <x v="64"/>
    <x v="323"/>
    <x v="238"/>
    <x v="258"/>
    <x v="7"/>
  </r>
  <r>
    <x v="0"/>
    <x v="59"/>
    <x v="59"/>
    <x v="18"/>
    <x v="18"/>
    <x v="18"/>
    <x v="18"/>
    <x v="341"/>
    <x v="343"/>
    <x v="65"/>
    <x v="69"/>
    <x v="228"/>
    <x v="311"/>
    <x v="7"/>
  </r>
  <r>
    <x v="0"/>
    <x v="59"/>
    <x v="59"/>
    <x v="13"/>
    <x v="13"/>
    <x v="13"/>
    <x v="18"/>
    <x v="341"/>
    <x v="343"/>
    <x v="67"/>
    <x v="39"/>
    <x v="225"/>
    <x v="173"/>
    <x v="7"/>
  </r>
  <r>
    <x v="0"/>
    <x v="59"/>
    <x v="59"/>
    <x v="9"/>
    <x v="9"/>
    <x v="9"/>
    <x v="18"/>
    <x v="341"/>
    <x v="343"/>
    <x v="84"/>
    <x v="638"/>
    <x v="240"/>
    <x v="549"/>
    <x v="7"/>
  </r>
  <r>
    <x v="0"/>
    <x v="60"/>
    <x v="60"/>
    <x v="0"/>
    <x v="0"/>
    <x v="0"/>
    <x v="0"/>
    <x v="101"/>
    <x v="552"/>
    <x v="76"/>
    <x v="641"/>
    <x v="223"/>
    <x v="400"/>
    <x v="7"/>
  </r>
  <r>
    <x v="0"/>
    <x v="60"/>
    <x v="60"/>
    <x v="1"/>
    <x v="1"/>
    <x v="1"/>
    <x v="1"/>
    <x v="153"/>
    <x v="553"/>
    <x v="243"/>
    <x v="642"/>
    <x v="216"/>
    <x v="426"/>
    <x v="7"/>
  </r>
  <r>
    <x v="0"/>
    <x v="60"/>
    <x v="60"/>
    <x v="2"/>
    <x v="2"/>
    <x v="2"/>
    <x v="2"/>
    <x v="164"/>
    <x v="338"/>
    <x v="105"/>
    <x v="643"/>
    <x v="98"/>
    <x v="550"/>
    <x v="7"/>
  </r>
  <r>
    <x v="0"/>
    <x v="60"/>
    <x v="60"/>
    <x v="4"/>
    <x v="4"/>
    <x v="4"/>
    <x v="3"/>
    <x v="72"/>
    <x v="554"/>
    <x v="64"/>
    <x v="238"/>
    <x v="74"/>
    <x v="551"/>
    <x v="7"/>
  </r>
  <r>
    <x v="0"/>
    <x v="60"/>
    <x v="60"/>
    <x v="3"/>
    <x v="3"/>
    <x v="3"/>
    <x v="4"/>
    <x v="155"/>
    <x v="511"/>
    <x v="106"/>
    <x v="58"/>
    <x v="66"/>
    <x v="160"/>
    <x v="7"/>
  </r>
  <r>
    <x v="0"/>
    <x v="60"/>
    <x v="60"/>
    <x v="6"/>
    <x v="6"/>
    <x v="6"/>
    <x v="5"/>
    <x v="223"/>
    <x v="42"/>
    <x v="138"/>
    <x v="487"/>
    <x v="226"/>
    <x v="237"/>
    <x v="7"/>
  </r>
  <r>
    <x v="0"/>
    <x v="60"/>
    <x v="60"/>
    <x v="9"/>
    <x v="9"/>
    <x v="9"/>
    <x v="6"/>
    <x v="292"/>
    <x v="391"/>
    <x v="104"/>
    <x v="644"/>
    <x v="240"/>
    <x v="528"/>
    <x v="7"/>
  </r>
  <r>
    <x v="0"/>
    <x v="60"/>
    <x v="60"/>
    <x v="5"/>
    <x v="5"/>
    <x v="5"/>
    <x v="7"/>
    <x v="287"/>
    <x v="350"/>
    <x v="81"/>
    <x v="184"/>
    <x v="140"/>
    <x v="468"/>
    <x v="7"/>
  </r>
  <r>
    <x v="0"/>
    <x v="60"/>
    <x v="60"/>
    <x v="8"/>
    <x v="8"/>
    <x v="8"/>
    <x v="7"/>
    <x v="287"/>
    <x v="350"/>
    <x v="53"/>
    <x v="76"/>
    <x v="81"/>
    <x v="552"/>
    <x v="7"/>
  </r>
  <r>
    <x v="0"/>
    <x v="60"/>
    <x v="60"/>
    <x v="7"/>
    <x v="7"/>
    <x v="7"/>
    <x v="9"/>
    <x v="316"/>
    <x v="192"/>
    <x v="105"/>
    <x v="643"/>
    <x v="228"/>
    <x v="332"/>
    <x v="7"/>
  </r>
  <r>
    <x v="0"/>
    <x v="60"/>
    <x v="60"/>
    <x v="12"/>
    <x v="12"/>
    <x v="12"/>
    <x v="10"/>
    <x v="289"/>
    <x v="46"/>
    <x v="81"/>
    <x v="184"/>
    <x v="226"/>
    <x v="237"/>
    <x v="7"/>
  </r>
  <r>
    <x v="0"/>
    <x v="60"/>
    <x v="60"/>
    <x v="11"/>
    <x v="11"/>
    <x v="11"/>
    <x v="11"/>
    <x v="290"/>
    <x v="555"/>
    <x v="92"/>
    <x v="645"/>
    <x v="225"/>
    <x v="553"/>
    <x v="7"/>
  </r>
  <r>
    <x v="0"/>
    <x v="60"/>
    <x v="60"/>
    <x v="10"/>
    <x v="10"/>
    <x v="10"/>
    <x v="12"/>
    <x v="318"/>
    <x v="48"/>
    <x v="70"/>
    <x v="240"/>
    <x v="146"/>
    <x v="322"/>
    <x v="7"/>
  </r>
  <r>
    <x v="0"/>
    <x v="60"/>
    <x v="60"/>
    <x v="15"/>
    <x v="15"/>
    <x v="15"/>
    <x v="13"/>
    <x v="320"/>
    <x v="156"/>
    <x v="54"/>
    <x v="194"/>
    <x v="223"/>
    <x v="400"/>
    <x v="7"/>
  </r>
  <r>
    <x v="0"/>
    <x v="60"/>
    <x v="60"/>
    <x v="18"/>
    <x v="18"/>
    <x v="18"/>
    <x v="14"/>
    <x v="321"/>
    <x v="169"/>
    <x v="65"/>
    <x v="136"/>
    <x v="227"/>
    <x v="493"/>
    <x v="7"/>
  </r>
  <r>
    <x v="0"/>
    <x v="60"/>
    <x v="60"/>
    <x v="14"/>
    <x v="14"/>
    <x v="14"/>
    <x v="15"/>
    <x v="330"/>
    <x v="194"/>
    <x v="57"/>
    <x v="30"/>
    <x v="224"/>
    <x v="67"/>
    <x v="7"/>
  </r>
  <r>
    <x v="0"/>
    <x v="60"/>
    <x v="60"/>
    <x v="21"/>
    <x v="21"/>
    <x v="21"/>
    <x v="15"/>
    <x v="330"/>
    <x v="194"/>
    <x v="84"/>
    <x v="528"/>
    <x v="228"/>
    <x v="332"/>
    <x v="7"/>
  </r>
  <r>
    <x v="0"/>
    <x v="60"/>
    <x v="60"/>
    <x v="22"/>
    <x v="22"/>
    <x v="22"/>
    <x v="15"/>
    <x v="330"/>
    <x v="194"/>
    <x v="117"/>
    <x v="135"/>
    <x v="225"/>
    <x v="553"/>
    <x v="7"/>
  </r>
  <r>
    <x v="0"/>
    <x v="60"/>
    <x v="60"/>
    <x v="16"/>
    <x v="16"/>
    <x v="16"/>
    <x v="18"/>
    <x v="331"/>
    <x v="236"/>
    <x v="54"/>
    <x v="194"/>
    <x v="237"/>
    <x v="140"/>
    <x v="7"/>
  </r>
  <r>
    <x v="0"/>
    <x v="60"/>
    <x v="60"/>
    <x v="19"/>
    <x v="19"/>
    <x v="19"/>
    <x v="19"/>
    <x v="337"/>
    <x v="285"/>
    <x v="57"/>
    <x v="30"/>
    <x v="146"/>
    <x v="322"/>
    <x v="7"/>
  </r>
  <r>
    <x v="0"/>
    <x v="60"/>
    <x v="60"/>
    <x v="13"/>
    <x v="13"/>
    <x v="13"/>
    <x v="19"/>
    <x v="337"/>
    <x v="285"/>
    <x v="54"/>
    <x v="194"/>
    <x v="236"/>
    <x v="293"/>
    <x v="7"/>
  </r>
  <r>
    <x v="0"/>
    <x v="61"/>
    <x v="61"/>
    <x v="29"/>
    <x v="29"/>
    <x v="29"/>
    <x v="0"/>
    <x v="291"/>
    <x v="550"/>
    <x v="117"/>
    <x v="135"/>
    <x v="140"/>
    <x v="554"/>
    <x v="7"/>
  </r>
  <r>
    <x v="0"/>
    <x v="61"/>
    <x v="61"/>
    <x v="15"/>
    <x v="15"/>
    <x v="15"/>
    <x v="1"/>
    <x v="335"/>
    <x v="533"/>
    <x v="64"/>
    <x v="646"/>
    <x v="223"/>
    <x v="555"/>
    <x v="7"/>
  </r>
  <r>
    <x v="0"/>
    <x v="61"/>
    <x v="61"/>
    <x v="18"/>
    <x v="18"/>
    <x v="18"/>
    <x v="1"/>
    <x v="335"/>
    <x v="533"/>
    <x v="65"/>
    <x v="480"/>
    <x v="216"/>
    <x v="556"/>
    <x v="7"/>
  </r>
  <r>
    <x v="0"/>
    <x v="61"/>
    <x v="61"/>
    <x v="3"/>
    <x v="3"/>
    <x v="3"/>
    <x v="3"/>
    <x v="320"/>
    <x v="556"/>
    <x v="70"/>
    <x v="647"/>
    <x v="225"/>
    <x v="83"/>
    <x v="7"/>
  </r>
  <r>
    <x v="0"/>
    <x v="61"/>
    <x v="61"/>
    <x v="45"/>
    <x v="45"/>
    <x v="45"/>
    <x v="4"/>
    <x v="321"/>
    <x v="557"/>
    <x v="117"/>
    <x v="135"/>
    <x v="176"/>
    <x v="557"/>
    <x v="7"/>
  </r>
  <r>
    <x v="0"/>
    <x v="61"/>
    <x v="61"/>
    <x v="0"/>
    <x v="0"/>
    <x v="0"/>
    <x v="5"/>
    <x v="330"/>
    <x v="121"/>
    <x v="123"/>
    <x v="648"/>
    <x v="240"/>
    <x v="558"/>
    <x v="7"/>
  </r>
  <r>
    <x v="0"/>
    <x v="61"/>
    <x v="61"/>
    <x v="4"/>
    <x v="4"/>
    <x v="4"/>
    <x v="6"/>
    <x v="337"/>
    <x v="340"/>
    <x v="54"/>
    <x v="649"/>
    <x v="236"/>
    <x v="159"/>
    <x v="7"/>
  </r>
  <r>
    <x v="0"/>
    <x v="61"/>
    <x v="61"/>
    <x v="46"/>
    <x v="46"/>
    <x v="46"/>
    <x v="7"/>
    <x v="338"/>
    <x v="392"/>
    <x v="117"/>
    <x v="135"/>
    <x v="235"/>
    <x v="559"/>
    <x v="7"/>
  </r>
  <r>
    <x v="0"/>
    <x v="61"/>
    <x v="61"/>
    <x v="5"/>
    <x v="5"/>
    <x v="5"/>
    <x v="8"/>
    <x v="343"/>
    <x v="202"/>
    <x v="64"/>
    <x v="646"/>
    <x v="229"/>
    <x v="179"/>
    <x v="7"/>
  </r>
  <r>
    <x v="0"/>
    <x v="61"/>
    <x v="61"/>
    <x v="14"/>
    <x v="14"/>
    <x v="14"/>
    <x v="8"/>
    <x v="343"/>
    <x v="202"/>
    <x v="117"/>
    <x v="135"/>
    <x v="146"/>
    <x v="146"/>
    <x v="7"/>
  </r>
  <r>
    <x v="0"/>
    <x v="61"/>
    <x v="61"/>
    <x v="2"/>
    <x v="2"/>
    <x v="2"/>
    <x v="8"/>
    <x v="343"/>
    <x v="202"/>
    <x v="117"/>
    <x v="135"/>
    <x v="146"/>
    <x v="146"/>
    <x v="7"/>
  </r>
  <r>
    <x v="0"/>
    <x v="61"/>
    <x v="61"/>
    <x v="27"/>
    <x v="27"/>
    <x v="27"/>
    <x v="11"/>
    <x v="340"/>
    <x v="111"/>
    <x v="53"/>
    <x v="282"/>
    <x v="229"/>
    <x v="179"/>
    <x v="7"/>
  </r>
  <r>
    <x v="0"/>
    <x v="61"/>
    <x v="61"/>
    <x v="39"/>
    <x v="39"/>
    <x v="39"/>
    <x v="12"/>
    <x v="341"/>
    <x v="459"/>
    <x v="65"/>
    <x v="480"/>
    <x v="228"/>
    <x v="138"/>
    <x v="7"/>
  </r>
  <r>
    <x v="0"/>
    <x v="61"/>
    <x v="61"/>
    <x v="47"/>
    <x v="47"/>
    <x v="47"/>
    <x v="12"/>
    <x v="341"/>
    <x v="459"/>
    <x v="57"/>
    <x v="47"/>
    <x v="164"/>
    <x v="411"/>
    <x v="7"/>
  </r>
  <r>
    <x v="0"/>
    <x v="61"/>
    <x v="61"/>
    <x v="20"/>
    <x v="20"/>
    <x v="20"/>
    <x v="12"/>
    <x v="341"/>
    <x v="459"/>
    <x v="65"/>
    <x v="480"/>
    <x v="228"/>
    <x v="138"/>
    <x v="7"/>
  </r>
  <r>
    <x v="0"/>
    <x v="61"/>
    <x v="61"/>
    <x v="30"/>
    <x v="30"/>
    <x v="30"/>
    <x v="15"/>
    <x v="342"/>
    <x v="558"/>
    <x v="117"/>
    <x v="135"/>
    <x v="228"/>
    <x v="138"/>
    <x v="7"/>
  </r>
  <r>
    <x v="0"/>
    <x v="61"/>
    <x v="61"/>
    <x v="38"/>
    <x v="38"/>
    <x v="38"/>
    <x v="15"/>
    <x v="342"/>
    <x v="558"/>
    <x v="65"/>
    <x v="480"/>
    <x v="164"/>
    <x v="411"/>
    <x v="7"/>
  </r>
  <r>
    <x v="0"/>
    <x v="61"/>
    <x v="61"/>
    <x v="10"/>
    <x v="10"/>
    <x v="10"/>
    <x v="17"/>
    <x v="344"/>
    <x v="115"/>
    <x v="57"/>
    <x v="47"/>
    <x v="229"/>
    <x v="179"/>
    <x v="7"/>
  </r>
  <r>
    <x v="0"/>
    <x v="61"/>
    <x v="61"/>
    <x v="6"/>
    <x v="6"/>
    <x v="6"/>
    <x v="17"/>
    <x v="344"/>
    <x v="115"/>
    <x v="54"/>
    <x v="649"/>
    <x v="240"/>
    <x v="558"/>
    <x v="7"/>
  </r>
  <r>
    <x v="0"/>
    <x v="61"/>
    <x v="61"/>
    <x v="8"/>
    <x v="8"/>
    <x v="8"/>
    <x v="19"/>
    <x v="345"/>
    <x v="271"/>
    <x v="117"/>
    <x v="135"/>
    <x v="225"/>
    <x v="83"/>
    <x v="7"/>
  </r>
  <r>
    <x v="0"/>
    <x v="62"/>
    <x v="62"/>
    <x v="1"/>
    <x v="1"/>
    <x v="1"/>
    <x v="0"/>
    <x v="166"/>
    <x v="411"/>
    <x v="162"/>
    <x v="650"/>
    <x v="228"/>
    <x v="124"/>
    <x v="7"/>
  </r>
  <r>
    <x v="0"/>
    <x v="62"/>
    <x v="62"/>
    <x v="0"/>
    <x v="0"/>
    <x v="0"/>
    <x v="1"/>
    <x v="167"/>
    <x v="559"/>
    <x v="154"/>
    <x v="651"/>
    <x v="229"/>
    <x v="111"/>
    <x v="7"/>
  </r>
  <r>
    <x v="0"/>
    <x v="62"/>
    <x v="62"/>
    <x v="5"/>
    <x v="5"/>
    <x v="5"/>
    <x v="2"/>
    <x v="271"/>
    <x v="560"/>
    <x v="105"/>
    <x v="652"/>
    <x v="190"/>
    <x v="560"/>
    <x v="7"/>
  </r>
  <r>
    <x v="0"/>
    <x v="62"/>
    <x v="62"/>
    <x v="4"/>
    <x v="4"/>
    <x v="4"/>
    <x v="3"/>
    <x v="293"/>
    <x v="418"/>
    <x v="64"/>
    <x v="624"/>
    <x v="107"/>
    <x v="561"/>
    <x v="7"/>
  </r>
  <r>
    <x v="0"/>
    <x v="62"/>
    <x v="62"/>
    <x v="10"/>
    <x v="10"/>
    <x v="10"/>
    <x v="4"/>
    <x v="288"/>
    <x v="152"/>
    <x v="94"/>
    <x v="383"/>
    <x v="146"/>
    <x v="172"/>
    <x v="7"/>
  </r>
  <r>
    <x v="0"/>
    <x v="62"/>
    <x v="62"/>
    <x v="3"/>
    <x v="3"/>
    <x v="3"/>
    <x v="5"/>
    <x v="289"/>
    <x v="561"/>
    <x v="51"/>
    <x v="409"/>
    <x v="146"/>
    <x v="172"/>
    <x v="7"/>
  </r>
  <r>
    <x v="0"/>
    <x v="62"/>
    <x v="62"/>
    <x v="11"/>
    <x v="11"/>
    <x v="11"/>
    <x v="6"/>
    <x v="291"/>
    <x v="253"/>
    <x v="123"/>
    <x v="301"/>
    <x v="236"/>
    <x v="162"/>
    <x v="7"/>
  </r>
  <r>
    <x v="0"/>
    <x v="62"/>
    <x v="62"/>
    <x v="9"/>
    <x v="9"/>
    <x v="9"/>
    <x v="7"/>
    <x v="319"/>
    <x v="330"/>
    <x v="105"/>
    <x v="652"/>
    <x v="241"/>
    <x v="562"/>
    <x v="7"/>
  </r>
  <r>
    <x v="0"/>
    <x v="62"/>
    <x v="62"/>
    <x v="8"/>
    <x v="8"/>
    <x v="8"/>
    <x v="8"/>
    <x v="320"/>
    <x v="191"/>
    <x v="64"/>
    <x v="624"/>
    <x v="235"/>
    <x v="343"/>
    <x v="7"/>
  </r>
  <r>
    <x v="0"/>
    <x v="62"/>
    <x v="62"/>
    <x v="6"/>
    <x v="6"/>
    <x v="6"/>
    <x v="8"/>
    <x v="320"/>
    <x v="191"/>
    <x v="123"/>
    <x v="301"/>
    <x v="229"/>
    <x v="111"/>
    <x v="7"/>
  </r>
  <r>
    <x v="0"/>
    <x v="62"/>
    <x v="62"/>
    <x v="7"/>
    <x v="7"/>
    <x v="7"/>
    <x v="10"/>
    <x v="321"/>
    <x v="466"/>
    <x v="70"/>
    <x v="625"/>
    <x v="229"/>
    <x v="111"/>
    <x v="7"/>
  </r>
  <r>
    <x v="0"/>
    <x v="62"/>
    <x v="62"/>
    <x v="12"/>
    <x v="12"/>
    <x v="12"/>
    <x v="11"/>
    <x v="331"/>
    <x v="280"/>
    <x v="52"/>
    <x v="653"/>
    <x v="225"/>
    <x v="158"/>
    <x v="7"/>
  </r>
  <r>
    <x v="0"/>
    <x v="62"/>
    <x v="62"/>
    <x v="2"/>
    <x v="2"/>
    <x v="2"/>
    <x v="11"/>
    <x v="331"/>
    <x v="280"/>
    <x v="54"/>
    <x v="654"/>
    <x v="237"/>
    <x v="563"/>
    <x v="7"/>
  </r>
  <r>
    <x v="0"/>
    <x v="62"/>
    <x v="62"/>
    <x v="22"/>
    <x v="22"/>
    <x v="22"/>
    <x v="13"/>
    <x v="343"/>
    <x v="422"/>
    <x v="117"/>
    <x v="135"/>
    <x v="237"/>
    <x v="563"/>
    <x v="7"/>
  </r>
  <r>
    <x v="0"/>
    <x v="62"/>
    <x v="62"/>
    <x v="21"/>
    <x v="21"/>
    <x v="21"/>
    <x v="14"/>
    <x v="340"/>
    <x v="101"/>
    <x v="67"/>
    <x v="401"/>
    <x v="164"/>
    <x v="201"/>
    <x v="7"/>
  </r>
  <r>
    <x v="0"/>
    <x v="62"/>
    <x v="62"/>
    <x v="48"/>
    <x v="48"/>
    <x v="48"/>
    <x v="15"/>
    <x v="341"/>
    <x v="245"/>
    <x v="67"/>
    <x v="401"/>
    <x v="225"/>
    <x v="158"/>
    <x v="7"/>
  </r>
  <r>
    <x v="0"/>
    <x v="62"/>
    <x v="62"/>
    <x v="27"/>
    <x v="27"/>
    <x v="27"/>
    <x v="15"/>
    <x v="341"/>
    <x v="245"/>
    <x v="67"/>
    <x v="401"/>
    <x v="225"/>
    <x v="158"/>
    <x v="7"/>
  </r>
  <r>
    <x v="0"/>
    <x v="62"/>
    <x v="62"/>
    <x v="17"/>
    <x v="17"/>
    <x v="17"/>
    <x v="17"/>
    <x v="342"/>
    <x v="130"/>
    <x v="65"/>
    <x v="35"/>
    <x v="164"/>
    <x v="201"/>
    <x v="7"/>
  </r>
  <r>
    <x v="0"/>
    <x v="62"/>
    <x v="62"/>
    <x v="13"/>
    <x v="13"/>
    <x v="13"/>
    <x v="18"/>
    <x v="344"/>
    <x v="367"/>
    <x v="54"/>
    <x v="654"/>
    <x v="239"/>
    <x v="564"/>
    <x v="7"/>
  </r>
  <r>
    <x v="0"/>
    <x v="62"/>
    <x v="62"/>
    <x v="49"/>
    <x v="49"/>
    <x v="49"/>
    <x v="18"/>
    <x v="344"/>
    <x v="367"/>
    <x v="57"/>
    <x v="29"/>
    <x v="229"/>
    <x v="111"/>
    <x v="7"/>
  </r>
  <r>
    <x v="0"/>
    <x v="63"/>
    <x v="63"/>
    <x v="2"/>
    <x v="2"/>
    <x v="2"/>
    <x v="0"/>
    <x v="144"/>
    <x v="562"/>
    <x v="105"/>
    <x v="655"/>
    <x v="57"/>
    <x v="565"/>
    <x v="7"/>
  </r>
  <r>
    <x v="0"/>
    <x v="63"/>
    <x v="63"/>
    <x v="1"/>
    <x v="1"/>
    <x v="1"/>
    <x v="1"/>
    <x v="72"/>
    <x v="454"/>
    <x v="110"/>
    <x v="656"/>
    <x v="238"/>
    <x v="161"/>
    <x v="7"/>
  </r>
  <r>
    <x v="0"/>
    <x v="63"/>
    <x v="63"/>
    <x v="0"/>
    <x v="0"/>
    <x v="0"/>
    <x v="2"/>
    <x v="217"/>
    <x v="362"/>
    <x v="145"/>
    <x v="657"/>
    <x v="235"/>
    <x v="93"/>
    <x v="7"/>
  </r>
  <r>
    <x v="0"/>
    <x v="63"/>
    <x v="63"/>
    <x v="3"/>
    <x v="3"/>
    <x v="3"/>
    <x v="3"/>
    <x v="156"/>
    <x v="563"/>
    <x v="55"/>
    <x v="367"/>
    <x v="138"/>
    <x v="566"/>
    <x v="7"/>
  </r>
  <r>
    <x v="0"/>
    <x v="63"/>
    <x v="63"/>
    <x v="4"/>
    <x v="4"/>
    <x v="4"/>
    <x v="4"/>
    <x v="157"/>
    <x v="426"/>
    <x v="70"/>
    <x v="304"/>
    <x v="134"/>
    <x v="503"/>
    <x v="7"/>
  </r>
  <r>
    <x v="0"/>
    <x v="63"/>
    <x v="63"/>
    <x v="8"/>
    <x v="8"/>
    <x v="8"/>
    <x v="5"/>
    <x v="292"/>
    <x v="502"/>
    <x v="48"/>
    <x v="428"/>
    <x v="95"/>
    <x v="567"/>
    <x v="7"/>
  </r>
  <r>
    <x v="0"/>
    <x v="63"/>
    <x v="63"/>
    <x v="6"/>
    <x v="6"/>
    <x v="6"/>
    <x v="5"/>
    <x v="292"/>
    <x v="502"/>
    <x v="55"/>
    <x v="367"/>
    <x v="228"/>
    <x v="127"/>
    <x v="7"/>
  </r>
  <r>
    <x v="0"/>
    <x v="63"/>
    <x v="63"/>
    <x v="9"/>
    <x v="9"/>
    <x v="9"/>
    <x v="5"/>
    <x v="292"/>
    <x v="502"/>
    <x v="106"/>
    <x v="658"/>
    <x v="164"/>
    <x v="178"/>
    <x v="7"/>
  </r>
  <r>
    <x v="0"/>
    <x v="63"/>
    <x v="63"/>
    <x v="5"/>
    <x v="5"/>
    <x v="5"/>
    <x v="8"/>
    <x v="293"/>
    <x v="564"/>
    <x v="123"/>
    <x v="659"/>
    <x v="190"/>
    <x v="568"/>
    <x v="7"/>
  </r>
  <r>
    <x v="0"/>
    <x v="63"/>
    <x v="63"/>
    <x v="12"/>
    <x v="12"/>
    <x v="12"/>
    <x v="9"/>
    <x v="294"/>
    <x v="6"/>
    <x v="131"/>
    <x v="660"/>
    <x v="140"/>
    <x v="232"/>
    <x v="7"/>
  </r>
  <r>
    <x v="0"/>
    <x v="63"/>
    <x v="63"/>
    <x v="11"/>
    <x v="11"/>
    <x v="11"/>
    <x v="10"/>
    <x v="288"/>
    <x v="27"/>
    <x v="56"/>
    <x v="661"/>
    <x v="237"/>
    <x v="158"/>
    <x v="7"/>
  </r>
  <r>
    <x v="0"/>
    <x v="63"/>
    <x v="63"/>
    <x v="16"/>
    <x v="16"/>
    <x v="16"/>
    <x v="11"/>
    <x v="289"/>
    <x v="218"/>
    <x v="57"/>
    <x v="190"/>
    <x v="172"/>
    <x v="527"/>
    <x v="7"/>
  </r>
  <r>
    <x v="0"/>
    <x v="63"/>
    <x v="63"/>
    <x v="10"/>
    <x v="10"/>
    <x v="10"/>
    <x v="12"/>
    <x v="318"/>
    <x v="10"/>
    <x v="123"/>
    <x v="659"/>
    <x v="237"/>
    <x v="158"/>
    <x v="7"/>
  </r>
  <r>
    <x v="0"/>
    <x v="63"/>
    <x v="63"/>
    <x v="30"/>
    <x v="30"/>
    <x v="30"/>
    <x v="13"/>
    <x v="335"/>
    <x v="565"/>
    <x v="53"/>
    <x v="429"/>
    <x v="226"/>
    <x v="20"/>
    <x v="7"/>
  </r>
  <r>
    <x v="0"/>
    <x v="63"/>
    <x v="63"/>
    <x v="7"/>
    <x v="7"/>
    <x v="7"/>
    <x v="13"/>
    <x v="335"/>
    <x v="565"/>
    <x v="131"/>
    <x v="660"/>
    <x v="228"/>
    <x v="127"/>
    <x v="1"/>
  </r>
  <r>
    <x v="0"/>
    <x v="63"/>
    <x v="63"/>
    <x v="13"/>
    <x v="13"/>
    <x v="13"/>
    <x v="15"/>
    <x v="331"/>
    <x v="462"/>
    <x v="84"/>
    <x v="497"/>
    <x v="164"/>
    <x v="178"/>
    <x v="7"/>
  </r>
  <r>
    <x v="0"/>
    <x v="63"/>
    <x v="63"/>
    <x v="22"/>
    <x v="22"/>
    <x v="22"/>
    <x v="15"/>
    <x v="331"/>
    <x v="462"/>
    <x v="117"/>
    <x v="135"/>
    <x v="223"/>
    <x v="569"/>
    <x v="7"/>
  </r>
  <r>
    <x v="0"/>
    <x v="63"/>
    <x v="63"/>
    <x v="21"/>
    <x v="21"/>
    <x v="21"/>
    <x v="17"/>
    <x v="337"/>
    <x v="82"/>
    <x v="53"/>
    <x v="429"/>
    <x v="228"/>
    <x v="127"/>
    <x v="7"/>
  </r>
  <r>
    <x v="0"/>
    <x v="63"/>
    <x v="63"/>
    <x v="37"/>
    <x v="37"/>
    <x v="37"/>
    <x v="18"/>
    <x v="343"/>
    <x v="429"/>
    <x v="53"/>
    <x v="429"/>
    <x v="225"/>
    <x v="152"/>
    <x v="7"/>
  </r>
  <r>
    <x v="0"/>
    <x v="63"/>
    <x v="63"/>
    <x v="15"/>
    <x v="15"/>
    <x v="15"/>
    <x v="18"/>
    <x v="343"/>
    <x v="429"/>
    <x v="67"/>
    <x v="113"/>
    <x v="228"/>
    <x v="127"/>
    <x v="7"/>
  </r>
  <r>
    <x v="0"/>
    <x v="64"/>
    <x v="64"/>
    <x v="40"/>
    <x v="40"/>
    <x v="40"/>
    <x v="0"/>
    <x v="88"/>
    <x v="566"/>
    <x v="130"/>
    <x v="662"/>
    <x v="235"/>
    <x v="4"/>
    <x v="7"/>
  </r>
  <r>
    <x v="0"/>
    <x v="64"/>
    <x v="64"/>
    <x v="0"/>
    <x v="0"/>
    <x v="0"/>
    <x v="1"/>
    <x v="286"/>
    <x v="567"/>
    <x v="153"/>
    <x v="663"/>
    <x v="225"/>
    <x v="487"/>
    <x v="7"/>
  </r>
  <r>
    <x v="0"/>
    <x v="64"/>
    <x v="64"/>
    <x v="11"/>
    <x v="11"/>
    <x v="11"/>
    <x v="2"/>
    <x v="145"/>
    <x v="532"/>
    <x v="145"/>
    <x v="664"/>
    <x v="146"/>
    <x v="570"/>
    <x v="7"/>
  </r>
  <r>
    <x v="0"/>
    <x v="64"/>
    <x v="64"/>
    <x v="3"/>
    <x v="3"/>
    <x v="3"/>
    <x v="3"/>
    <x v="154"/>
    <x v="568"/>
    <x v="68"/>
    <x v="665"/>
    <x v="164"/>
    <x v="133"/>
    <x v="7"/>
  </r>
  <r>
    <x v="0"/>
    <x v="64"/>
    <x v="64"/>
    <x v="35"/>
    <x v="35"/>
    <x v="35"/>
    <x v="4"/>
    <x v="166"/>
    <x v="476"/>
    <x v="82"/>
    <x v="666"/>
    <x v="138"/>
    <x v="571"/>
    <x v="7"/>
  </r>
  <r>
    <x v="0"/>
    <x v="64"/>
    <x v="64"/>
    <x v="1"/>
    <x v="1"/>
    <x v="1"/>
    <x v="5"/>
    <x v="167"/>
    <x v="40"/>
    <x v="162"/>
    <x v="667"/>
    <x v="240"/>
    <x v="572"/>
    <x v="7"/>
  </r>
  <r>
    <x v="0"/>
    <x v="64"/>
    <x v="64"/>
    <x v="5"/>
    <x v="5"/>
    <x v="5"/>
    <x v="6"/>
    <x v="314"/>
    <x v="569"/>
    <x v="74"/>
    <x v="419"/>
    <x v="228"/>
    <x v="60"/>
    <x v="7"/>
  </r>
  <r>
    <x v="0"/>
    <x v="64"/>
    <x v="64"/>
    <x v="43"/>
    <x v="43"/>
    <x v="43"/>
    <x v="7"/>
    <x v="328"/>
    <x v="570"/>
    <x v="55"/>
    <x v="432"/>
    <x v="238"/>
    <x v="68"/>
    <x v="7"/>
  </r>
  <r>
    <x v="0"/>
    <x v="64"/>
    <x v="64"/>
    <x v="10"/>
    <x v="10"/>
    <x v="10"/>
    <x v="8"/>
    <x v="290"/>
    <x v="490"/>
    <x v="105"/>
    <x v="581"/>
    <x v="238"/>
    <x v="68"/>
    <x v="7"/>
  </r>
  <r>
    <x v="0"/>
    <x v="64"/>
    <x v="64"/>
    <x v="4"/>
    <x v="4"/>
    <x v="4"/>
    <x v="9"/>
    <x v="291"/>
    <x v="571"/>
    <x v="51"/>
    <x v="668"/>
    <x v="228"/>
    <x v="60"/>
    <x v="7"/>
  </r>
  <r>
    <x v="0"/>
    <x v="64"/>
    <x v="64"/>
    <x v="8"/>
    <x v="8"/>
    <x v="8"/>
    <x v="10"/>
    <x v="335"/>
    <x v="166"/>
    <x v="51"/>
    <x v="668"/>
    <x v="225"/>
    <x v="487"/>
    <x v="7"/>
  </r>
  <r>
    <x v="0"/>
    <x v="64"/>
    <x v="64"/>
    <x v="24"/>
    <x v="24"/>
    <x v="24"/>
    <x v="11"/>
    <x v="320"/>
    <x v="181"/>
    <x v="48"/>
    <x v="622"/>
    <x v="236"/>
    <x v="573"/>
    <x v="7"/>
  </r>
  <r>
    <x v="0"/>
    <x v="64"/>
    <x v="64"/>
    <x v="9"/>
    <x v="9"/>
    <x v="9"/>
    <x v="12"/>
    <x v="321"/>
    <x v="572"/>
    <x v="94"/>
    <x v="669"/>
    <x v="241"/>
    <x v="562"/>
    <x v="7"/>
  </r>
  <r>
    <x v="0"/>
    <x v="64"/>
    <x v="64"/>
    <x v="37"/>
    <x v="37"/>
    <x v="37"/>
    <x v="13"/>
    <x v="336"/>
    <x v="323"/>
    <x v="84"/>
    <x v="429"/>
    <x v="236"/>
    <x v="573"/>
    <x v="7"/>
  </r>
  <r>
    <x v="0"/>
    <x v="64"/>
    <x v="64"/>
    <x v="6"/>
    <x v="6"/>
    <x v="6"/>
    <x v="14"/>
    <x v="331"/>
    <x v="50"/>
    <x v="81"/>
    <x v="325"/>
    <x v="241"/>
    <x v="562"/>
    <x v="7"/>
  </r>
  <r>
    <x v="0"/>
    <x v="64"/>
    <x v="64"/>
    <x v="12"/>
    <x v="12"/>
    <x v="12"/>
    <x v="15"/>
    <x v="338"/>
    <x v="67"/>
    <x v="131"/>
    <x v="478"/>
    <x v="241"/>
    <x v="562"/>
    <x v="7"/>
  </r>
  <r>
    <x v="0"/>
    <x v="64"/>
    <x v="64"/>
    <x v="2"/>
    <x v="2"/>
    <x v="2"/>
    <x v="15"/>
    <x v="338"/>
    <x v="67"/>
    <x v="53"/>
    <x v="371"/>
    <x v="164"/>
    <x v="133"/>
    <x v="7"/>
  </r>
  <r>
    <x v="0"/>
    <x v="64"/>
    <x v="64"/>
    <x v="27"/>
    <x v="27"/>
    <x v="27"/>
    <x v="15"/>
    <x v="338"/>
    <x v="67"/>
    <x v="81"/>
    <x v="325"/>
    <x v="240"/>
    <x v="572"/>
    <x v="7"/>
  </r>
  <r>
    <x v="0"/>
    <x v="64"/>
    <x v="64"/>
    <x v="18"/>
    <x v="18"/>
    <x v="18"/>
    <x v="18"/>
    <x v="341"/>
    <x v="148"/>
    <x v="57"/>
    <x v="35"/>
    <x v="164"/>
    <x v="133"/>
    <x v="7"/>
  </r>
  <r>
    <x v="0"/>
    <x v="64"/>
    <x v="64"/>
    <x v="38"/>
    <x v="38"/>
    <x v="38"/>
    <x v="19"/>
    <x v="342"/>
    <x v="573"/>
    <x v="57"/>
    <x v="35"/>
    <x v="225"/>
    <x v="487"/>
    <x v="7"/>
  </r>
  <r>
    <x v="0"/>
    <x v="64"/>
    <x v="64"/>
    <x v="7"/>
    <x v="7"/>
    <x v="7"/>
    <x v="19"/>
    <x v="342"/>
    <x v="573"/>
    <x v="64"/>
    <x v="71"/>
    <x v="240"/>
    <x v="572"/>
    <x v="7"/>
  </r>
  <r>
    <x v="0"/>
    <x v="64"/>
    <x v="64"/>
    <x v="13"/>
    <x v="13"/>
    <x v="13"/>
    <x v="19"/>
    <x v="342"/>
    <x v="573"/>
    <x v="64"/>
    <x v="71"/>
    <x v="240"/>
    <x v="572"/>
    <x v="7"/>
  </r>
  <r>
    <x v="0"/>
    <x v="65"/>
    <x v="65"/>
    <x v="2"/>
    <x v="2"/>
    <x v="2"/>
    <x v="0"/>
    <x v="141"/>
    <x v="574"/>
    <x v="160"/>
    <x v="670"/>
    <x v="237"/>
    <x v="39"/>
    <x v="1"/>
  </r>
  <r>
    <x v="0"/>
    <x v="65"/>
    <x v="65"/>
    <x v="1"/>
    <x v="1"/>
    <x v="1"/>
    <x v="1"/>
    <x v="155"/>
    <x v="575"/>
    <x v="195"/>
    <x v="671"/>
    <x v="240"/>
    <x v="399"/>
    <x v="7"/>
  </r>
  <r>
    <x v="0"/>
    <x v="65"/>
    <x v="65"/>
    <x v="4"/>
    <x v="4"/>
    <x v="4"/>
    <x v="2"/>
    <x v="147"/>
    <x v="338"/>
    <x v="74"/>
    <x v="672"/>
    <x v="176"/>
    <x v="574"/>
    <x v="7"/>
  </r>
  <r>
    <x v="0"/>
    <x v="65"/>
    <x v="65"/>
    <x v="0"/>
    <x v="0"/>
    <x v="0"/>
    <x v="2"/>
    <x v="147"/>
    <x v="338"/>
    <x v="104"/>
    <x v="458"/>
    <x v="225"/>
    <x v="411"/>
    <x v="7"/>
  </r>
  <r>
    <x v="0"/>
    <x v="65"/>
    <x v="65"/>
    <x v="5"/>
    <x v="5"/>
    <x v="5"/>
    <x v="4"/>
    <x v="333"/>
    <x v="105"/>
    <x v="82"/>
    <x v="673"/>
    <x v="224"/>
    <x v="575"/>
    <x v="7"/>
  </r>
  <r>
    <x v="0"/>
    <x v="65"/>
    <x v="65"/>
    <x v="6"/>
    <x v="6"/>
    <x v="6"/>
    <x v="4"/>
    <x v="333"/>
    <x v="105"/>
    <x v="82"/>
    <x v="673"/>
    <x v="237"/>
    <x v="39"/>
    <x v="3"/>
  </r>
  <r>
    <x v="0"/>
    <x v="65"/>
    <x v="65"/>
    <x v="3"/>
    <x v="3"/>
    <x v="3"/>
    <x v="6"/>
    <x v="293"/>
    <x v="345"/>
    <x v="55"/>
    <x v="387"/>
    <x v="224"/>
    <x v="575"/>
    <x v="7"/>
  </r>
  <r>
    <x v="0"/>
    <x v="65"/>
    <x v="65"/>
    <x v="11"/>
    <x v="11"/>
    <x v="11"/>
    <x v="7"/>
    <x v="288"/>
    <x v="241"/>
    <x v="74"/>
    <x v="672"/>
    <x v="229"/>
    <x v="158"/>
    <x v="7"/>
  </r>
  <r>
    <x v="0"/>
    <x v="65"/>
    <x v="65"/>
    <x v="8"/>
    <x v="8"/>
    <x v="8"/>
    <x v="8"/>
    <x v="328"/>
    <x v="242"/>
    <x v="70"/>
    <x v="674"/>
    <x v="223"/>
    <x v="576"/>
    <x v="7"/>
  </r>
  <r>
    <x v="0"/>
    <x v="65"/>
    <x v="65"/>
    <x v="10"/>
    <x v="10"/>
    <x v="10"/>
    <x v="9"/>
    <x v="318"/>
    <x v="175"/>
    <x v="90"/>
    <x v="675"/>
    <x v="228"/>
    <x v="577"/>
    <x v="7"/>
  </r>
  <r>
    <x v="0"/>
    <x v="65"/>
    <x v="65"/>
    <x v="13"/>
    <x v="13"/>
    <x v="13"/>
    <x v="10"/>
    <x v="319"/>
    <x v="576"/>
    <x v="52"/>
    <x v="323"/>
    <x v="224"/>
    <x v="575"/>
    <x v="7"/>
  </r>
  <r>
    <x v="0"/>
    <x v="65"/>
    <x v="65"/>
    <x v="9"/>
    <x v="9"/>
    <x v="9"/>
    <x v="11"/>
    <x v="320"/>
    <x v="483"/>
    <x v="56"/>
    <x v="419"/>
    <x v="241"/>
    <x v="562"/>
    <x v="7"/>
  </r>
  <r>
    <x v="0"/>
    <x v="65"/>
    <x v="65"/>
    <x v="40"/>
    <x v="40"/>
    <x v="40"/>
    <x v="12"/>
    <x v="337"/>
    <x v="422"/>
    <x v="53"/>
    <x v="438"/>
    <x v="228"/>
    <x v="577"/>
    <x v="7"/>
  </r>
  <r>
    <x v="0"/>
    <x v="65"/>
    <x v="65"/>
    <x v="12"/>
    <x v="12"/>
    <x v="12"/>
    <x v="13"/>
    <x v="343"/>
    <x v="15"/>
    <x v="48"/>
    <x v="356"/>
    <x v="240"/>
    <x v="399"/>
    <x v="7"/>
  </r>
  <r>
    <x v="0"/>
    <x v="65"/>
    <x v="65"/>
    <x v="19"/>
    <x v="19"/>
    <x v="19"/>
    <x v="14"/>
    <x v="340"/>
    <x v="82"/>
    <x v="53"/>
    <x v="438"/>
    <x v="229"/>
    <x v="158"/>
    <x v="7"/>
  </r>
  <r>
    <x v="0"/>
    <x v="65"/>
    <x v="65"/>
    <x v="15"/>
    <x v="15"/>
    <x v="15"/>
    <x v="15"/>
    <x v="341"/>
    <x v="304"/>
    <x v="57"/>
    <x v="37"/>
    <x v="164"/>
    <x v="86"/>
    <x v="7"/>
  </r>
  <r>
    <x v="0"/>
    <x v="65"/>
    <x v="65"/>
    <x v="7"/>
    <x v="7"/>
    <x v="7"/>
    <x v="15"/>
    <x v="341"/>
    <x v="304"/>
    <x v="64"/>
    <x v="293"/>
    <x v="239"/>
    <x v="239"/>
    <x v="7"/>
  </r>
  <r>
    <x v="0"/>
    <x v="65"/>
    <x v="65"/>
    <x v="27"/>
    <x v="27"/>
    <x v="27"/>
    <x v="17"/>
    <x v="342"/>
    <x v="384"/>
    <x v="53"/>
    <x v="438"/>
    <x v="239"/>
    <x v="239"/>
    <x v="7"/>
  </r>
  <r>
    <x v="0"/>
    <x v="65"/>
    <x v="65"/>
    <x v="32"/>
    <x v="32"/>
    <x v="32"/>
    <x v="18"/>
    <x v="344"/>
    <x v="573"/>
    <x v="53"/>
    <x v="438"/>
    <x v="240"/>
    <x v="399"/>
    <x v="7"/>
  </r>
  <r>
    <x v="0"/>
    <x v="65"/>
    <x v="65"/>
    <x v="24"/>
    <x v="24"/>
    <x v="24"/>
    <x v="18"/>
    <x v="344"/>
    <x v="573"/>
    <x v="57"/>
    <x v="37"/>
    <x v="229"/>
    <x v="158"/>
    <x v="7"/>
  </r>
  <r>
    <x v="0"/>
    <x v="66"/>
    <x v="66"/>
    <x v="1"/>
    <x v="1"/>
    <x v="1"/>
    <x v="0"/>
    <x v="153"/>
    <x v="577"/>
    <x v="250"/>
    <x v="676"/>
    <x v="227"/>
    <x v="398"/>
    <x v="7"/>
  </r>
  <r>
    <x v="0"/>
    <x v="66"/>
    <x v="66"/>
    <x v="0"/>
    <x v="0"/>
    <x v="0"/>
    <x v="1"/>
    <x v="196"/>
    <x v="578"/>
    <x v="251"/>
    <x v="505"/>
    <x v="164"/>
    <x v="252"/>
    <x v="7"/>
  </r>
  <r>
    <x v="0"/>
    <x v="66"/>
    <x v="66"/>
    <x v="4"/>
    <x v="4"/>
    <x v="4"/>
    <x v="2"/>
    <x v="217"/>
    <x v="579"/>
    <x v="94"/>
    <x v="677"/>
    <x v="137"/>
    <x v="578"/>
    <x v="7"/>
  </r>
  <r>
    <x v="0"/>
    <x v="66"/>
    <x v="66"/>
    <x v="6"/>
    <x v="6"/>
    <x v="6"/>
    <x v="3"/>
    <x v="272"/>
    <x v="580"/>
    <x v="124"/>
    <x v="678"/>
    <x v="228"/>
    <x v="282"/>
    <x v="7"/>
  </r>
  <r>
    <x v="0"/>
    <x v="66"/>
    <x v="66"/>
    <x v="2"/>
    <x v="2"/>
    <x v="2"/>
    <x v="4"/>
    <x v="333"/>
    <x v="581"/>
    <x v="70"/>
    <x v="679"/>
    <x v="138"/>
    <x v="547"/>
    <x v="7"/>
  </r>
  <r>
    <x v="0"/>
    <x v="66"/>
    <x v="66"/>
    <x v="5"/>
    <x v="5"/>
    <x v="5"/>
    <x v="5"/>
    <x v="292"/>
    <x v="582"/>
    <x v="123"/>
    <x v="261"/>
    <x v="140"/>
    <x v="495"/>
    <x v="7"/>
  </r>
  <r>
    <x v="0"/>
    <x v="66"/>
    <x v="66"/>
    <x v="10"/>
    <x v="10"/>
    <x v="10"/>
    <x v="6"/>
    <x v="293"/>
    <x v="379"/>
    <x v="148"/>
    <x v="280"/>
    <x v="146"/>
    <x v="171"/>
    <x v="7"/>
  </r>
  <r>
    <x v="0"/>
    <x v="66"/>
    <x v="66"/>
    <x v="3"/>
    <x v="3"/>
    <x v="3"/>
    <x v="7"/>
    <x v="287"/>
    <x v="583"/>
    <x v="92"/>
    <x v="114"/>
    <x v="223"/>
    <x v="283"/>
    <x v="7"/>
  </r>
  <r>
    <x v="0"/>
    <x v="66"/>
    <x v="66"/>
    <x v="8"/>
    <x v="8"/>
    <x v="8"/>
    <x v="8"/>
    <x v="288"/>
    <x v="60"/>
    <x v="64"/>
    <x v="284"/>
    <x v="190"/>
    <x v="579"/>
    <x v="7"/>
  </r>
  <r>
    <x v="0"/>
    <x v="66"/>
    <x v="66"/>
    <x v="9"/>
    <x v="9"/>
    <x v="9"/>
    <x v="9"/>
    <x v="289"/>
    <x v="350"/>
    <x v="74"/>
    <x v="680"/>
    <x v="239"/>
    <x v="529"/>
    <x v="7"/>
  </r>
  <r>
    <x v="0"/>
    <x v="66"/>
    <x v="66"/>
    <x v="11"/>
    <x v="11"/>
    <x v="11"/>
    <x v="10"/>
    <x v="318"/>
    <x v="584"/>
    <x v="123"/>
    <x v="261"/>
    <x v="237"/>
    <x v="580"/>
    <x v="7"/>
  </r>
  <r>
    <x v="0"/>
    <x v="66"/>
    <x v="66"/>
    <x v="13"/>
    <x v="13"/>
    <x v="13"/>
    <x v="11"/>
    <x v="321"/>
    <x v="32"/>
    <x v="48"/>
    <x v="204"/>
    <x v="228"/>
    <x v="282"/>
    <x v="7"/>
  </r>
  <r>
    <x v="0"/>
    <x v="66"/>
    <x v="66"/>
    <x v="15"/>
    <x v="15"/>
    <x v="15"/>
    <x v="12"/>
    <x v="331"/>
    <x v="101"/>
    <x v="57"/>
    <x v="148"/>
    <x v="235"/>
    <x v="236"/>
    <x v="7"/>
  </r>
  <r>
    <x v="0"/>
    <x v="66"/>
    <x v="66"/>
    <x v="27"/>
    <x v="27"/>
    <x v="27"/>
    <x v="12"/>
    <x v="331"/>
    <x v="101"/>
    <x v="131"/>
    <x v="681"/>
    <x v="239"/>
    <x v="529"/>
    <x v="7"/>
  </r>
  <r>
    <x v="0"/>
    <x v="66"/>
    <x v="66"/>
    <x v="7"/>
    <x v="7"/>
    <x v="7"/>
    <x v="14"/>
    <x v="337"/>
    <x v="244"/>
    <x v="81"/>
    <x v="47"/>
    <x v="239"/>
    <x v="529"/>
    <x v="7"/>
  </r>
  <r>
    <x v="0"/>
    <x v="66"/>
    <x v="66"/>
    <x v="16"/>
    <x v="16"/>
    <x v="16"/>
    <x v="15"/>
    <x v="338"/>
    <x v="207"/>
    <x v="53"/>
    <x v="480"/>
    <x v="164"/>
    <x v="252"/>
    <x v="7"/>
  </r>
  <r>
    <x v="0"/>
    <x v="66"/>
    <x v="66"/>
    <x v="12"/>
    <x v="12"/>
    <x v="12"/>
    <x v="16"/>
    <x v="343"/>
    <x v="53"/>
    <x v="67"/>
    <x v="29"/>
    <x v="228"/>
    <x v="282"/>
    <x v="7"/>
  </r>
  <r>
    <x v="0"/>
    <x v="66"/>
    <x v="66"/>
    <x v="19"/>
    <x v="19"/>
    <x v="19"/>
    <x v="16"/>
    <x v="343"/>
    <x v="53"/>
    <x v="54"/>
    <x v="119"/>
    <x v="164"/>
    <x v="252"/>
    <x v="7"/>
  </r>
  <r>
    <x v="0"/>
    <x v="66"/>
    <x v="66"/>
    <x v="20"/>
    <x v="20"/>
    <x v="20"/>
    <x v="16"/>
    <x v="343"/>
    <x v="53"/>
    <x v="57"/>
    <x v="148"/>
    <x v="236"/>
    <x v="187"/>
    <x v="7"/>
  </r>
  <r>
    <x v="0"/>
    <x v="66"/>
    <x v="66"/>
    <x v="18"/>
    <x v="18"/>
    <x v="18"/>
    <x v="19"/>
    <x v="341"/>
    <x v="585"/>
    <x v="117"/>
    <x v="135"/>
    <x v="236"/>
    <x v="187"/>
    <x v="7"/>
  </r>
  <r>
    <x v="0"/>
    <x v="66"/>
    <x v="66"/>
    <x v="41"/>
    <x v="41"/>
    <x v="41"/>
    <x v="19"/>
    <x v="341"/>
    <x v="585"/>
    <x v="67"/>
    <x v="29"/>
    <x v="229"/>
    <x v="222"/>
    <x v="7"/>
  </r>
  <r>
    <x v="0"/>
    <x v="66"/>
    <x v="66"/>
    <x v="21"/>
    <x v="21"/>
    <x v="21"/>
    <x v="19"/>
    <x v="341"/>
    <x v="585"/>
    <x v="54"/>
    <x v="119"/>
    <x v="229"/>
    <x v="222"/>
    <x v="7"/>
  </r>
  <r>
    <x v="0"/>
    <x v="67"/>
    <x v="67"/>
    <x v="1"/>
    <x v="1"/>
    <x v="1"/>
    <x v="0"/>
    <x v="142"/>
    <x v="586"/>
    <x v="243"/>
    <x v="601"/>
    <x v="146"/>
    <x v="109"/>
    <x v="7"/>
  </r>
  <r>
    <x v="0"/>
    <x v="67"/>
    <x v="67"/>
    <x v="5"/>
    <x v="5"/>
    <x v="5"/>
    <x v="1"/>
    <x v="164"/>
    <x v="560"/>
    <x v="148"/>
    <x v="367"/>
    <x v="68"/>
    <x v="581"/>
    <x v="7"/>
  </r>
  <r>
    <x v="0"/>
    <x v="67"/>
    <x v="67"/>
    <x v="0"/>
    <x v="0"/>
    <x v="0"/>
    <x v="2"/>
    <x v="145"/>
    <x v="587"/>
    <x v="134"/>
    <x v="682"/>
    <x v="164"/>
    <x v="50"/>
    <x v="7"/>
  </r>
  <r>
    <x v="0"/>
    <x v="67"/>
    <x v="67"/>
    <x v="4"/>
    <x v="4"/>
    <x v="4"/>
    <x v="3"/>
    <x v="156"/>
    <x v="588"/>
    <x v="131"/>
    <x v="683"/>
    <x v="45"/>
    <x v="450"/>
    <x v="7"/>
  </r>
  <r>
    <x v="0"/>
    <x v="67"/>
    <x v="67"/>
    <x v="3"/>
    <x v="3"/>
    <x v="3"/>
    <x v="4"/>
    <x v="168"/>
    <x v="589"/>
    <x v="83"/>
    <x v="684"/>
    <x v="176"/>
    <x v="582"/>
    <x v="7"/>
  </r>
  <r>
    <x v="0"/>
    <x v="67"/>
    <x v="67"/>
    <x v="6"/>
    <x v="6"/>
    <x v="6"/>
    <x v="5"/>
    <x v="273"/>
    <x v="198"/>
    <x v="95"/>
    <x v="639"/>
    <x v="164"/>
    <x v="50"/>
    <x v="1"/>
  </r>
  <r>
    <x v="0"/>
    <x v="67"/>
    <x v="67"/>
    <x v="2"/>
    <x v="2"/>
    <x v="2"/>
    <x v="6"/>
    <x v="294"/>
    <x v="276"/>
    <x v="105"/>
    <x v="605"/>
    <x v="224"/>
    <x v="326"/>
    <x v="7"/>
  </r>
  <r>
    <x v="0"/>
    <x v="67"/>
    <x v="67"/>
    <x v="8"/>
    <x v="8"/>
    <x v="8"/>
    <x v="7"/>
    <x v="317"/>
    <x v="590"/>
    <x v="52"/>
    <x v="685"/>
    <x v="172"/>
    <x v="583"/>
    <x v="7"/>
  </r>
  <r>
    <x v="0"/>
    <x v="67"/>
    <x v="67"/>
    <x v="10"/>
    <x v="10"/>
    <x v="10"/>
    <x v="7"/>
    <x v="317"/>
    <x v="590"/>
    <x v="74"/>
    <x v="467"/>
    <x v="236"/>
    <x v="250"/>
    <x v="7"/>
  </r>
  <r>
    <x v="0"/>
    <x v="67"/>
    <x v="67"/>
    <x v="11"/>
    <x v="11"/>
    <x v="11"/>
    <x v="9"/>
    <x v="291"/>
    <x v="359"/>
    <x v="56"/>
    <x v="686"/>
    <x v="229"/>
    <x v="292"/>
    <x v="7"/>
  </r>
  <r>
    <x v="0"/>
    <x v="67"/>
    <x v="67"/>
    <x v="15"/>
    <x v="15"/>
    <x v="15"/>
    <x v="10"/>
    <x v="335"/>
    <x v="46"/>
    <x v="64"/>
    <x v="363"/>
    <x v="223"/>
    <x v="584"/>
    <x v="7"/>
  </r>
  <r>
    <x v="0"/>
    <x v="67"/>
    <x v="67"/>
    <x v="7"/>
    <x v="7"/>
    <x v="7"/>
    <x v="10"/>
    <x v="335"/>
    <x v="46"/>
    <x v="90"/>
    <x v="687"/>
    <x v="229"/>
    <x v="292"/>
    <x v="7"/>
  </r>
  <r>
    <x v="0"/>
    <x v="67"/>
    <x v="67"/>
    <x v="9"/>
    <x v="9"/>
    <x v="9"/>
    <x v="12"/>
    <x v="321"/>
    <x v="64"/>
    <x v="51"/>
    <x v="31"/>
    <x v="239"/>
    <x v="529"/>
    <x v="7"/>
  </r>
  <r>
    <x v="0"/>
    <x v="67"/>
    <x v="67"/>
    <x v="31"/>
    <x v="31"/>
    <x v="31"/>
    <x v="13"/>
    <x v="336"/>
    <x v="128"/>
    <x v="123"/>
    <x v="451"/>
    <x v="239"/>
    <x v="529"/>
    <x v="7"/>
  </r>
  <r>
    <x v="0"/>
    <x v="67"/>
    <x v="67"/>
    <x v="13"/>
    <x v="13"/>
    <x v="13"/>
    <x v="13"/>
    <x v="336"/>
    <x v="128"/>
    <x v="81"/>
    <x v="604"/>
    <x v="225"/>
    <x v="279"/>
    <x v="7"/>
  </r>
  <r>
    <x v="0"/>
    <x v="67"/>
    <x v="67"/>
    <x v="16"/>
    <x v="16"/>
    <x v="16"/>
    <x v="15"/>
    <x v="338"/>
    <x v="82"/>
    <x v="67"/>
    <x v="519"/>
    <x v="236"/>
    <x v="250"/>
    <x v="7"/>
  </r>
  <r>
    <x v="0"/>
    <x v="67"/>
    <x v="67"/>
    <x v="14"/>
    <x v="14"/>
    <x v="14"/>
    <x v="15"/>
    <x v="338"/>
    <x v="82"/>
    <x v="117"/>
    <x v="135"/>
    <x v="235"/>
    <x v="295"/>
    <x v="7"/>
  </r>
  <r>
    <x v="0"/>
    <x v="67"/>
    <x v="67"/>
    <x v="22"/>
    <x v="22"/>
    <x v="22"/>
    <x v="17"/>
    <x v="343"/>
    <x v="283"/>
    <x v="117"/>
    <x v="135"/>
    <x v="229"/>
    <x v="292"/>
    <x v="7"/>
  </r>
  <r>
    <x v="0"/>
    <x v="67"/>
    <x v="67"/>
    <x v="18"/>
    <x v="18"/>
    <x v="18"/>
    <x v="18"/>
    <x v="340"/>
    <x v="294"/>
    <x v="54"/>
    <x v="72"/>
    <x v="225"/>
    <x v="279"/>
    <x v="7"/>
  </r>
  <r>
    <x v="0"/>
    <x v="67"/>
    <x v="67"/>
    <x v="12"/>
    <x v="12"/>
    <x v="12"/>
    <x v="18"/>
    <x v="340"/>
    <x v="294"/>
    <x v="84"/>
    <x v="456"/>
    <x v="239"/>
    <x v="529"/>
    <x v="7"/>
  </r>
  <r>
    <x v="0"/>
    <x v="67"/>
    <x v="67"/>
    <x v="21"/>
    <x v="21"/>
    <x v="21"/>
    <x v="18"/>
    <x v="340"/>
    <x v="294"/>
    <x v="65"/>
    <x v="67"/>
    <x v="236"/>
    <x v="250"/>
    <x v="7"/>
  </r>
  <r>
    <x v="0"/>
    <x v="67"/>
    <x v="67"/>
    <x v="43"/>
    <x v="43"/>
    <x v="43"/>
    <x v="18"/>
    <x v="340"/>
    <x v="294"/>
    <x v="53"/>
    <x v="27"/>
    <x v="229"/>
    <x v="292"/>
    <x v="7"/>
  </r>
  <r>
    <x v="0"/>
    <x v="67"/>
    <x v="67"/>
    <x v="27"/>
    <x v="27"/>
    <x v="27"/>
    <x v="18"/>
    <x v="340"/>
    <x v="294"/>
    <x v="84"/>
    <x v="456"/>
    <x v="239"/>
    <x v="529"/>
    <x v="7"/>
  </r>
  <r>
    <x v="0"/>
    <x v="68"/>
    <x v="68"/>
    <x v="3"/>
    <x v="3"/>
    <x v="3"/>
    <x v="0"/>
    <x v="329"/>
    <x v="452"/>
    <x v="51"/>
    <x v="688"/>
    <x v="229"/>
    <x v="74"/>
    <x v="7"/>
  </r>
  <r>
    <x v="0"/>
    <x v="68"/>
    <x v="68"/>
    <x v="1"/>
    <x v="1"/>
    <x v="1"/>
    <x v="0"/>
    <x v="329"/>
    <x v="452"/>
    <x v="56"/>
    <x v="689"/>
    <x v="240"/>
    <x v="455"/>
    <x v="7"/>
  </r>
  <r>
    <x v="0"/>
    <x v="68"/>
    <x v="68"/>
    <x v="4"/>
    <x v="4"/>
    <x v="4"/>
    <x v="2"/>
    <x v="330"/>
    <x v="591"/>
    <x v="53"/>
    <x v="690"/>
    <x v="237"/>
    <x v="585"/>
    <x v="7"/>
  </r>
  <r>
    <x v="0"/>
    <x v="68"/>
    <x v="68"/>
    <x v="5"/>
    <x v="5"/>
    <x v="5"/>
    <x v="3"/>
    <x v="338"/>
    <x v="592"/>
    <x v="52"/>
    <x v="45"/>
    <x v="238"/>
    <x v="586"/>
    <x v="7"/>
  </r>
  <r>
    <x v="0"/>
    <x v="68"/>
    <x v="68"/>
    <x v="0"/>
    <x v="0"/>
    <x v="0"/>
    <x v="3"/>
    <x v="338"/>
    <x v="592"/>
    <x v="48"/>
    <x v="691"/>
    <x v="239"/>
    <x v="587"/>
    <x v="7"/>
  </r>
  <r>
    <x v="0"/>
    <x v="68"/>
    <x v="68"/>
    <x v="8"/>
    <x v="8"/>
    <x v="8"/>
    <x v="5"/>
    <x v="340"/>
    <x v="593"/>
    <x v="54"/>
    <x v="421"/>
    <x v="225"/>
    <x v="263"/>
    <x v="7"/>
  </r>
  <r>
    <x v="0"/>
    <x v="68"/>
    <x v="68"/>
    <x v="11"/>
    <x v="11"/>
    <x v="11"/>
    <x v="5"/>
    <x v="340"/>
    <x v="593"/>
    <x v="52"/>
    <x v="45"/>
    <x v="240"/>
    <x v="455"/>
    <x v="7"/>
  </r>
  <r>
    <x v="0"/>
    <x v="68"/>
    <x v="68"/>
    <x v="40"/>
    <x v="40"/>
    <x v="40"/>
    <x v="7"/>
    <x v="341"/>
    <x v="594"/>
    <x v="54"/>
    <x v="421"/>
    <x v="238"/>
    <x v="586"/>
    <x v="7"/>
  </r>
  <r>
    <x v="0"/>
    <x v="68"/>
    <x v="68"/>
    <x v="9"/>
    <x v="9"/>
    <x v="9"/>
    <x v="7"/>
    <x v="341"/>
    <x v="594"/>
    <x v="52"/>
    <x v="45"/>
    <x v="241"/>
    <x v="562"/>
    <x v="7"/>
  </r>
  <r>
    <x v="0"/>
    <x v="68"/>
    <x v="68"/>
    <x v="10"/>
    <x v="10"/>
    <x v="10"/>
    <x v="9"/>
    <x v="344"/>
    <x v="300"/>
    <x v="53"/>
    <x v="690"/>
    <x v="240"/>
    <x v="455"/>
    <x v="7"/>
  </r>
  <r>
    <x v="0"/>
    <x v="68"/>
    <x v="68"/>
    <x v="12"/>
    <x v="12"/>
    <x v="12"/>
    <x v="10"/>
    <x v="345"/>
    <x v="44"/>
    <x v="54"/>
    <x v="421"/>
    <x v="240"/>
    <x v="455"/>
    <x v="7"/>
  </r>
  <r>
    <x v="0"/>
    <x v="68"/>
    <x v="68"/>
    <x v="44"/>
    <x v="44"/>
    <x v="44"/>
    <x v="11"/>
    <x v="346"/>
    <x v="169"/>
    <x v="57"/>
    <x v="275"/>
    <x v="240"/>
    <x v="455"/>
    <x v="7"/>
  </r>
  <r>
    <x v="0"/>
    <x v="68"/>
    <x v="68"/>
    <x v="7"/>
    <x v="7"/>
    <x v="7"/>
    <x v="11"/>
    <x v="346"/>
    <x v="169"/>
    <x v="65"/>
    <x v="371"/>
    <x v="239"/>
    <x v="587"/>
    <x v="7"/>
  </r>
  <r>
    <x v="0"/>
    <x v="68"/>
    <x v="68"/>
    <x v="43"/>
    <x v="43"/>
    <x v="43"/>
    <x v="11"/>
    <x v="346"/>
    <x v="169"/>
    <x v="117"/>
    <x v="135"/>
    <x v="238"/>
    <x v="586"/>
    <x v="7"/>
  </r>
  <r>
    <x v="0"/>
    <x v="68"/>
    <x v="68"/>
    <x v="35"/>
    <x v="35"/>
    <x v="35"/>
    <x v="14"/>
    <x v="347"/>
    <x v="595"/>
    <x v="57"/>
    <x v="275"/>
    <x v="241"/>
    <x v="562"/>
    <x v="7"/>
  </r>
  <r>
    <x v="0"/>
    <x v="68"/>
    <x v="68"/>
    <x v="39"/>
    <x v="39"/>
    <x v="39"/>
    <x v="14"/>
    <x v="347"/>
    <x v="595"/>
    <x v="117"/>
    <x v="135"/>
    <x v="239"/>
    <x v="587"/>
    <x v="7"/>
  </r>
  <r>
    <x v="0"/>
    <x v="68"/>
    <x v="68"/>
    <x v="50"/>
    <x v="50"/>
    <x v="50"/>
    <x v="14"/>
    <x v="347"/>
    <x v="595"/>
    <x v="65"/>
    <x v="371"/>
    <x v="240"/>
    <x v="455"/>
    <x v="7"/>
  </r>
  <r>
    <x v="0"/>
    <x v="68"/>
    <x v="68"/>
    <x v="18"/>
    <x v="18"/>
    <x v="18"/>
    <x v="14"/>
    <x v="347"/>
    <x v="595"/>
    <x v="65"/>
    <x v="371"/>
    <x v="240"/>
    <x v="455"/>
    <x v="7"/>
  </r>
  <r>
    <x v="0"/>
    <x v="68"/>
    <x v="68"/>
    <x v="13"/>
    <x v="13"/>
    <x v="13"/>
    <x v="14"/>
    <x v="347"/>
    <x v="595"/>
    <x v="65"/>
    <x v="371"/>
    <x v="240"/>
    <x v="455"/>
    <x v="7"/>
  </r>
  <r>
    <x v="0"/>
    <x v="68"/>
    <x v="68"/>
    <x v="41"/>
    <x v="41"/>
    <x v="41"/>
    <x v="14"/>
    <x v="347"/>
    <x v="595"/>
    <x v="117"/>
    <x v="135"/>
    <x v="241"/>
    <x v="562"/>
    <x v="7"/>
  </r>
  <r>
    <x v="0"/>
    <x v="68"/>
    <x v="68"/>
    <x v="21"/>
    <x v="21"/>
    <x v="21"/>
    <x v="14"/>
    <x v="347"/>
    <x v="595"/>
    <x v="117"/>
    <x v="135"/>
    <x v="240"/>
    <x v="455"/>
    <x v="7"/>
  </r>
  <r>
    <x v="0"/>
    <x v="68"/>
    <x v="68"/>
    <x v="46"/>
    <x v="46"/>
    <x v="46"/>
    <x v="14"/>
    <x v="347"/>
    <x v="595"/>
    <x v="117"/>
    <x v="135"/>
    <x v="240"/>
    <x v="455"/>
    <x v="7"/>
  </r>
  <r>
    <x v="0"/>
    <x v="68"/>
    <x v="68"/>
    <x v="20"/>
    <x v="20"/>
    <x v="20"/>
    <x v="14"/>
    <x v="347"/>
    <x v="595"/>
    <x v="117"/>
    <x v="135"/>
    <x v="239"/>
    <x v="587"/>
    <x v="7"/>
  </r>
  <r>
    <x v="0"/>
    <x v="69"/>
    <x v="69"/>
    <x v="0"/>
    <x v="0"/>
    <x v="0"/>
    <x v="0"/>
    <x v="320"/>
    <x v="596"/>
    <x v="123"/>
    <x v="347"/>
    <x v="229"/>
    <x v="588"/>
    <x v="7"/>
  </r>
  <r>
    <x v="0"/>
    <x v="69"/>
    <x v="69"/>
    <x v="4"/>
    <x v="4"/>
    <x v="4"/>
    <x v="1"/>
    <x v="321"/>
    <x v="597"/>
    <x v="81"/>
    <x v="692"/>
    <x v="164"/>
    <x v="589"/>
    <x v="7"/>
  </r>
  <r>
    <x v="0"/>
    <x v="69"/>
    <x v="69"/>
    <x v="11"/>
    <x v="11"/>
    <x v="11"/>
    <x v="2"/>
    <x v="343"/>
    <x v="208"/>
    <x v="81"/>
    <x v="692"/>
    <x v="241"/>
    <x v="562"/>
    <x v="7"/>
  </r>
  <r>
    <x v="0"/>
    <x v="69"/>
    <x v="69"/>
    <x v="3"/>
    <x v="3"/>
    <x v="3"/>
    <x v="2"/>
    <x v="343"/>
    <x v="208"/>
    <x v="52"/>
    <x v="693"/>
    <x v="239"/>
    <x v="590"/>
    <x v="7"/>
  </r>
  <r>
    <x v="0"/>
    <x v="69"/>
    <x v="69"/>
    <x v="1"/>
    <x v="1"/>
    <x v="1"/>
    <x v="4"/>
    <x v="341"/>
    <x v="598"/>
    <x v="52"/>
    <x v="693"/>
    <x v="241"/>
    <x v="562"/>
    <x v="7"/>
  </r>
  <r>
    <x v="0"/>
    <x v="69"/>
    <x v="69"/>
    <x v="10"/>
    <x v="10"/>
    <x v="10"/>
    <x v="5"/>
    <x v="342"/>
    <x v="347"/>
    <x v="64"/>
    <x v="170"/>
    <x v="240"/>
    <x v="138"/>
    <x v="7"/>
  </r>
  <r>
    <x v="0"/>
    <x v="69"/>
    <x v="69"/>
    <x v="5"/>
    <x v="5"/>
    <x v="5"/>
    <x v="6"/>
    <x v="344"/>
    <x v="24"/>
    <x v="64"/>
    <x v="170"/>
    <x v="241"/>
    <x v="562"/>
    <x v="7"/>
  </r>
  <r>
    <x v="0"/>
    <x v="69"/>
    <x v="69"/>
    <x v="8"/>
    <x v="8"/>
    <x v="8"/>
    <x v="6"/>
    <x v="344"/>
    <x v="24"/>
    <x v="53"/>
    <x v="694"/>
    <x v="240"/>
    <x v="138"/>
    <x v="7"/>
  </r>
  <r>
    <x v="0"/>
    <x v="69"/>
    <x v="69"/>
    <x v="6"/>
    <x v="6"/>
    <x v="6"/>
    <x v="8"/>
    <x v="345"/>
    <x v="175"/>
    <x v="54"/>
    <x v="432"/>
    <x v="241"/>
    <x v="562"/>
    <x v="7"/>
  </r>
  <r>
    <x v="0"/>
    <x v="69"/>
    <x v="69"/>
    <x v="9"/>
    <x v="9"/>
    <x v="9"/>
    <x v="8"/>
    <x v="345"/>
    <x v="175"/>
    <x v="53"/>
    <x v="694"/>
    <x v="241"/>
    <x v="562"/>
    <x v="7"/>
  </r>
  <r>
    <x v="0"/>
    <x v="69"/>
    <x v="69"/>
    <x v="40"/>
    <x v="40"/>
    <x v="40"/>
    <x v="10"/>
    <x v="348"/>
    <x v="450"/>
    <x v="65"/>
    <x v="119"/>
    <x v="239"/>
    <x v="590"/>
    <x v="1"/>
  </r>
  <r>
    <x v="0"/>
    <x v="69"/>
    <x v="69"/>
    <x v="12"/>
    <x v="12"/>
    <x v="12"/>
    <x v="11"/>
    <x v="346"/>
    <x v="542"/>
    <x v="57"/>
    <x v="427"/>
    <x v="240"/>
    <x v="138"/>
    <x v="7"/>
  </r>
  <r>
    <x v="0"/>
    <x v="69"/>
    <x v="69"/>
    <x v="13"/>
    <x v="13"/>
    <x v="13"/>
    <x v="11"/>
    <x v="346"/>
    <x v="542"/>
    <x v="57"/>
    <x v="427"/>
    <x v="240"/>
    <x v="138"/>
    <x v="7"/>
  </r>
  <r>
    <x v="0"/>
    <x v="69"/>
    <x v="69"/>
    <x v="35"/>
    <x v="35"/>
    <x v="35"/>
    <x v="13"/>
    <x v="347"/>
    <x v="247"/>
    <x v="65"/>
    <x v="119"/>
    <x v="240"/>
    <x v="138"/>
    <x v="7"/>
  </r>
  <r>
    <x v="0"/>
    <x v="69"/>
    <x v="69"/>
    <x v="51"/>
    <x v="51"/>
    <x v="51"/>
    <x v="13"/>
    <x v="347"/>
    <x v="247"/>
    <x v="65"/>
    <x v="119"/>
    <x v="240"/>
    <x v="138"/>
    <x v="7"/>
  </r>
  <r>
    <x v="0"/>
    <x v="69"/>
    <x v="69"/>
    <x v="39"/>
    <x v="39"/>
    <x v="39"/>
    <x v="13"/>
    <x v="347"/>
    <x v="247"/>
    <x v="65"/>
    <x v="119"/>
    <x v="240"/>
    <x v="138"/>
    <x v="7"/>
  </r>
  <r>
    <x v="0"/>
    <x v="69"/>
    <x v="69"/>
    <x v="34"/>
    <x v="34"/>
    <x v="34"/>
    <x v="13"/>
    <x v="347"/>
    <x v="247"/>
    <x v="57"/>
    <x v="427"/>
    <x v="241"/>
    <x v="562"/>
    <x v="7"/>
  </r>
  <r>
    <x v="0"/>
    <x v="69"/>
    <x v="69"/>
    <x v="24"/>
    <x v="24"/>
    <x v="24"/>
    <x v="13"/>
    <x v="347"/>
    <x v="247"/>
    <x v="65"/>
    <x v="119"/>
    <x v="240"/>
    <x v="138"/>
    <x v="7"/>
  </r>
  <r>
    <x v="0"/>
    <x v="69"/>
    <x v="69"/>
    <x v="43"/>
    <x v="43"/>
    <x v="43"/>
    <x v="13"/>
    <x v="347"/>
    <x v="247"/>
    <x v="65"/>
    <x v="119"/>
    <x v="240"/>
    <x v="138"/>
    <x v="7"/>
  </r>
  <r>
    <x v="0"/>
    <x v="69"/>
    <x v="69"/>
    <x v="44"/>
    <x v="44"/>
    <x v="44"/>
    <x v="19"/>
    <x v="349"/>
    <x v="599"/>
    <x v="65"/>
    <x v="119"/>
    <x v="241"/>
    <x v="562"/>
    <x v="7"/>
  </r>
  <r>
    <x v="0"/>
    <x v="69"/>
    <x v="69"/>
    <x v="52"/>
    <x v="52"/>
    <x v="52"/>
    <x v="19"/>
    <x v="349"/>
    <x v="599"/>
    <x v="117"/>
    <x v="135"/>
    <x v="240"/>
    <x v="138"/>
    <x v="7"/>
  </r>
  <r>
    <x v="0"/>
    <x v="69"/>
    <x v="69"/>
    <x v="53"/>
    <x v="53"/>
    <x v="53"/>
    <x v="19"/>
    <x v="349"/>
    <x v="599"/>
    <x v="117"/>
    <x v="135"/>
    <x v="241"/>
    <x v="562"/>
    <x v="7"/>
  </r>
  <r>
    <x v="0"/>
    <x v="69"/>
    <x v="69"/>
    <x v="38"/>
    <x v="38"/>
    <x v="38"/>
    <x v="19"/>
    <x v="349"/>
    <x v="599"/>
    <x v="117"/>
    <x v="135"/>
    <x v="240"/>
    <x v="138"/>
    <x v="7"/>
  </r>
  <r>
    <x v="0"/>
    <x v="69"/>
    <x v="69"/>
    <x v="29"/>
    <x v="29"/>
    <x v="29"/>
    <x v="19"/>
    <x v="349"/>
    <x v="599"/>
    <x v="117"/>
    <x v="135"/>
    <x v="241"/>
    <x v="562"/>
    <x v="1"/>
  </r>
  <r>
    <x v="0"/>
    <x v="69"/>
    <x v="69"/>
    <x v="14"/>
    <x v="14"/>
    <x v="14"/>
    <x v="19"/>
    <x v="349"/>
    <x v="599"/>
    <x v="65"/>
    <x v="119"/>
    <x v="241"/>
    <x v="562"/>
    <x v="7"/>
  </r>
  <r>
    <x v="0"/>
    <x v="69"/>
    <x v="69"/>
    <x v="17"/>
    <x v="17"/>
    <x v="17"/>
    <x v="19"/>
    <x v="349"/>
    <x v="599"/>
    <x v="117"/>
    <x v="135"/>
    <x v="240"/>
    <x v="138"/>
    <x v="7"/>
  </r>
  <r>
    <x v="0"/>
    <x v="69"/>
    <x v="69"/>
    <x v="19"/>
    <x v="19"/>
    <x v="19"/>
    <x v="19"/>
    <x v="349"/>
    <x v="599"/>
    <x v="65"/>
    <x v="119"/>
    <x v="241"/>
    <x v="562"/>
    <x v="7"/>
  </r>
  <r>
    <x v="0"/>
    <x v="69"/>
    <x v="69"/>
    <x v="2"/>
    <x v="2"/>
    <x v="2"/>
    <x v="19"/>
    <x v="349"/>
    <x v="599"/>
    <x v="117"/>
    <x v="135"/>
    <x v="240"/>
    <x v="138"/>
    <x v="7"/>
  </r>
  <r>
    <x v="0"/>
    <x v="69"/>
    <x v="69"/>
    <x v="54"/>
    <x v="54"/>
    <x v="54"/>
    <x v="19"/>
    <x v="349"/>
    <x v="599"/>
    <x v="117"/>
    <x v="135"/>
    <x v="240"/>
    <x v="138"/>
    <x v="7"/>
  </r>
  <r>
    <x v="0"/>
    <x v="69"/>
    <x v="69"/>
    <x v="7"/>
    <x v="7"/>
    <x v="7"/>
    <x v="19"/>
    <x v="349"/>
    <x v="599"/>
    <x v="65"/>
    <x v="119"/>
    <x v="241"/>
    <x v="562"/>
    <x v="7"/>
  </r>
  <r>
    <x v="0"/>
    <x v="69"/>
    <x v="69"/>
    <x v="22"/>
    <x v="22"/>
    <x v="22"/>
    <x v="19"/>
    <x v="349"/>
    <x v="599"/>
    <x v="65"/>
    <x v="119"/>
    <x v="241"/>
    <x v="562"/>
    <x v="7"/>
  </r>
  <r>
    <x v="0"/>
    <x v="69"/>
    <x v="69"/>
    <x v="55"/>
    <x v="55"/>
    <x v="55"/>
    <x v="19"/>
    <x v="349"/>
    <x v="599"/>
    <x v="117"/>
    <x v="135"/>
    <x v="240"/>
    <x v="138"/>
    <x v="7"/>
  </r>
  <r>
    <x v="0"/>
    <x v="69"/>
    <x v="69"/>
    <x v="20"/>
    <x v="20"/>
    <x v="20"/>
    <x v="19"/>
    <x v="349"/>
    <x v="599"/>
    <x v="65"/>
    <x v="119"/>
    <x v="241"/>
    <x v="562"/>
    <x v="7"/>
  </r>
  <r>
    <x v="0"/>
    <x v="70"/>
    <x v="70"/>
    <x v="11"/>
    <x v="11"/>
    <x v="11"/>
    <x v="0"/>
    <x v="341"/>
    <x v="600"/>
    <x v="52"/>
    <x v="695"/>
    <x v="241"/>
    <x v="562"/>
    <x v="7"/>
  </r>
  <r>
    <x v="0"/>
    <x v="70"/>
    <x v="70"/>
    <x v="4"/>
    <x v="4"/>
    <x v="4"/>
    <x v="1"/>
    <x v="345"/>
    <x v="601"/>
    <x v="67"/>
    <x v="532"/>
    <x v="239"/>
    <x v="591"/>
    <x v="7"/>
  </r>
  <r>
    <x v="0"/>
    <x v="70"/>
    <x v="70"/>
    <x v="3"/>
    <x v="3"/>
    <x v="3"/>
    <x v="2"/>
    <x v="346"/>
    <x v="602"/>
    <x v="67"/>
    <x v="532"/>
    <x v="241"/>
    <x v="562"/>
    <x v="7"/>
  </r>
  <r>
    <x v="0"/>
    <x v="70"/>
    <x v="70"/>
    <x v="40"/>
    <x v="40"/>
    <x v="40"/>
    <x v="2"/>
    <x v="346"/>
    <x v="602"/>
    <x v="57"/>
    <x v="696"/>
    <x v="240"/>
    <x v="263"/>
    <x v="7"/>
  </r>
  <r>
    <x v="0"/>
    <x v="70"/>
    <x v="70"/>
    <x v="0"/>
    <x v="0"/>
    <x v="0"/>
    <x v="2"/>
    <x v="346"/>
    <x v="602"/>
    <x v="67"/>
    <x v="532"/>
    <x v="241"/>
    <x v="562"/>
    <x v="7"/>
  </r>
  <r>
    <x v="0"/>
    <x v="70"/>
    <x v="70"/>
    <x v="35"/>
    <x v="35"/>
    <x v="35"/>
    <x v="5"/>
    <x v="347"/>
    <x v="583"/>
    <x v="117"/>
    <x v="135"/>
    <x v="239"/>
    <x v="591"/>
    <x v="7"/>
  </r>
  <r>
    <x v="0"/>
    <x v="70"/>
    <x v="70"/>
    <x v="32"/>
    <x v="32"/>
    <x v="32"/>
    <x v="5"/>
    <x v="347"/>
    <x v="583"/>
    <x v="117"/>
    <x v="135"/>
    <x v="239"/>
    <x v="591"/>
    <x v="7"/>
  </r>
  <r>
    <x v="0"/>
    <x v="70"/>
    <x v="70"/>
    <x v="2"/>
    <x v="2"/>
    <x v="2"/>
    <x v="5"/>
    <x v="347"/>
    <x v="583"/>
    <x v="57"/>
    <x v="696"/>
    <x v="241"/>
    <x v="562"/>
    <x v="7"/>
  </r>
  <r>
    <x v="0"/>
    <x v="70"/>
    <x v="70"/>
    <x v="1"/>
    <x v="1"/>
    <x v="1"/>
    <x v="5"/>
    <x v="347"/>
    <x v="583"/>
    <x v="57"/>
    <x v="696"/>
    <x v="241"/>
    <x v="562"/>
    <x v="7"/>
  </r>
  <r>
    <x v="0"/>
    <x v="70"/>
    <x v="70"/>
    <x v="55"/>
    <x v="55"/>
    <x v="55"/>
    <x v="5"/>
    <x v="347"/>
    <x v="583"/>
    <x v="117"/>
    <x v="135"/>
    <x v="240"/>
    <x v="263"/>
    <x v="1"/>
  </r>
  <r>
    <x v="0"/>
    <x v="70"/>
    <x v="70"/>
    <x v="51"/>
    <x v="51"/>
    <x v="51"/>
    <x v="10"/>
    <x v="349"/>
    <x v="603"/>
    <x v="117"/>
    <x v="135"/>
    <x v="240"/>
    <x v="263"/>
    <x v="7"/>
  </r>
  <r>
    <x v="0"/>
    <x v="70"/>
    <x v="70"/>
    <x v="39"/>
    <x v="39"/>
    <x v="39"/>
    <x v="10"/>
    <x v="349"/>
    <x v="603"/>
    <x v="117"/>
    <x v="135"/>
    <x v="241"/>
    <x v="562"/>
    <x v="1"/>
  </r>
  <r>
    <x v="0"/>
    <x v="70"/>
    <x v="70"/>
    <x v="30"/>
    <x v="30"/>
    <x v="30"/>
    <x v="10"/>
    <x v="349"/>
    <x v="603"/>
    <x v="65"/>
    <x v="697"/>
    <x v="241"/>
    <x v="562"/>
    <x v="7"/>
  </r>
  <r>
    <x v="0"/>
    <x v="70"/>
    <x v="70"/>
    <x v="34"/>
    <x v="34"/>
    <x v="34"/>
    <x v="10"/>
    <x v="349"/>
    <x v="603"/>
    <x v="65"/>
    <x v="697"/>
    <x v="241"/>
    <x v="562"/>
    <x v="7"/>
  </r>
  <r>
    <x v="0"/>
    <x v="70"/>
    <x v="70"/>
    <x v="29"/>
    <x v="29"/>
    <x v="29"/>
    <x v="10"/>
    <x v="349"/>
    <x v="603"/>
    <x v="117"/>
    <x v="135"/>
    <x v="241"/>
    <x v="562"/>
    <x v="1"/>
  </r>
  <r>
    <x v="0"/>
    <x v="70"/>
    <x v="70"/>
    <x v="12"/>
    <x v="12"/>
    <x v="12"/>
    <x v="10"/>
    <x v="349"/>
    <x v="603"/>
    <x v="65"/>
    <x v="697"/>
    <x v="241"/>
    <x v="562"/>
    <x v="7"/>
  </r>
  <r>
    <x v="0"/>
    <x v="70"/>
    <x v="70"/>
    <x v="10"/>
    <x v="10"/>
    <x v="10"/>
    <x v="10"/>
    <x v="349"/>
    <x v="603"/>
    <x v="65"/>
    <x v="697"/>
    <x v="241"/>
    <x v="562"/>
    <x v="7"/>
  </r>
  <r>
    <x v="0"/>
    <x v="70"/>
    <x v="70"/>
    <x v="48"/>
    <x v="48"/>
    <x v="48"/>
    <x v="10"/>
    <x v="349"/>
    <x v="603"/>
    <x v="117"/>
    <x v="135"/>
    <x v="240"/>
    <x v="263"/>
    <x v="7"/>
  </r>
  <r>
    <x v="0"/>
    <x v="70"/>
    <x v="70"/>
    <x v="41"/>
    <x v="41"/>
    <x v="41"/>
    <x v="10"/>
    <x v="349"/>
    <x v="603"/>
    <x v="117"/>
    <x v="135"/>
    <x v="241"/>
    <x v="562"/>
    <x v="7"/>
  </r>
  <r>
    <x v="0"/>
    <x v="70"/>
    <x v="70"/>
    <x v="43"/>
    <x v="43"/>
    <x v="43"/>
    <x v="10"/>
    <x v="349"/>
    <x v="603"/>
    <x v="117"/>
    <x v="135"/>
    <x v="240"/>
    <x v="263"/>
    <x v="7"/>
  </r>
  <r>
    <x v="0"/>
    <x v="70"/>
    <x v="70"/>
    <x v="9"/>
    <x v="9"/>
    <x v="9"/>
    <x v="10"/>
    <x v="349"/>
    <x v="603"/>
    <x v="65"/>
    <x v="697"/>
    <x v="241"/>
    <x v="562"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17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4"/>
  </r>
  <r>
    <x v="0"/>
    <x v="0"/>
    <x v="0"/>
    <x v="8"/>
    <x v="8"/>
    <x v="8"/>
    <x v="8"/>
    <x v="8"/>
    <x v="8"/>
    <x v="8"/>
    <x v="8"/>
    <x v="8"/>
    <x v="8"/>
    <x v="4"/>
  </r>
  <r>
    <x v="0"/>
    <x v="0"/>
    <x v="0"/>
    <x v="9"/>
    <x v="9"/>
    <x v="9"/>
    <x v="9"/>
    <x v="9"/>
    <x v="9"/>
    <x v="9"/>
    <x v="9"/>
    <x v="9"/>
    <x v="9"/>
    <x v="3"/>
  </r>
  <r>
    <x v="0"/>
    <x v="0"/>
    <x v="0"/>
    <x v="10"/>
    <x v="10"/>
    <x v="10"/>
    <x v="10"/>
    <x v="10"/>
    <x v="10"/>
    <x v="10"/>
    <x v="10"/>
    <x v="10"/>
    <x v="10"/>
    <x v="5"/>
  </r>
  <r>
    <x v="0"/>
    <x v="0"/>
    <x v="0"/>
    <x v="11"/>
    <x v="11"/>
    <x v="11"/>
    <x v="11"/>
    <x v="11"/>
    <x v="11"/>
    <x v="11"/>
    <x v="11"/>
    <x v="11"/>
    <x v="11"/>
    <x v="1"/>
  </r>
  <r>
    <x v="0"/>
    <x v="0"/>
    <x v="0"/>
    <x v="12"/>
    <x v="12"/>
    <x v="12"/>
    <x v="12"/>
    <x v="12"/>
    <x v="12"/>
    <x v="12"/>
    <x v="12"/>
    <x v="12"/>
    <x v="12"/>
    <x v="4"/>
  </r>
  <r>
    <x v="0"/>
    <x v="0"/>
    <x v="0"/>
    <x v="13"/>
    <x v="13"/>
    <x v="13"/>
    <x v="13"/>
    <x v="13"/>
    <x v="12"/>
    <x v="13"/>
    <x v="13"/>
    <x v="13"/>
    <x v="13"/>
    <x v="4"/>
  </r>
  <r>
    <x v="0"/>
    <x v="0"/>
    <x v="0"/>
    <x v="14"/>
    <x v="14"/>
    <x v="14"/>
    <x v="14"/>
    <x v="14"/>
    <x v="13"/>
    <x v="14"/>
    <x v="14"/>
    <x v="14"/>
    <x v="14"/>
    <x v="5"/>
  </r>
  <r>
    <x v="0"/>
    <x v="0"/>
    <x v="0"/>
    <x v="15"/>
    <x v="15"/>
    <x v="15"/>
    <x v="15"/>
    <x v="15"/>
    <x v="14"/>
    <x v="15"/>
    <x v="15"/>
    <x v="15"/>
    <x v="15"/>
    <x v="4"/>
  </r>
  <r>
    <x v="0"/>
    <x v="0"/>
    <x v="0"/>
    <x v="16"/>
    <x v="16"/>
    <x v="16"/>
    <x v="16"/>
    <x v="16"/>
    <x v="14"/>
    <x v="16"/>
    <x v="16"/>
    <x v="16"/>
    <x v="16"/>
    <x v="4"/>
  </r>
  <r>
    <x v="0"/>
    <x v="0"/>
    <x v="0"/>
    <x v="17"/>
    <x v="17"/>
    <x v="17"/>
    <x v="17"/>
    <x v="17"/>
    <x v="15"/>
    <x v="17"/>
    <x v="17"/>
    <x v="17"/>
    <x v="15"/>
    <x v="4"/>
  </r>
  <r>
    <x v="0"/>
    <x v="0"/>
    <x v="0"/>
    <x v="18"/>
    <x v="18"/>
    <x v="18"/>
    <x v="18"/>
    <x v="18"/>
    <x v="16"/>
    <x v="18"/>
    <x v="18"/>
    <x v="18"/>
    <x v="17"/>
    <x v="4"/>
  </r>
  <r>
    <x v="0"/>
    <x v="0"/>
    <x v="0"/>
    <x v="19"/>
    <x v="19"/>
    <x v="19"/>
    <x v="19"/>
    <x v="19"/>
    <x v="16"/>
    <x v="19"/>
    <x v="19"/>
    <x v="19"/>
    <x v="18"/>
    <x v="5"/>
  </r>
  <r>
    <x v="0"/>
    <x v="1"/>
    <x v="1"/>
    <x v="0"/>
    <x v="0"/>
    <x v="0"/>
    <x v="0"/>
    <x v="20"/>
    <x v="17"/>
    <x v="20"/>
    <x v="20"/>
    <x v="20"/>
    <x v="19"/>
    <x v="5"/>
  </r>
  <r>
    <x v="0"/>
    <x v="1"/>
    <x v="1"/>
    <x v="1"/>
    <x v="1"/>
    <x v="1"/>
    <x v="1"/>
    <x v="21"/>
    <x v="18"/>
    <x v="21"/>
    <x v="21"/>
    <x v="21"/>
    <x v="1"/>
    <x v="4"/>
  </r>
  <r>
    <x v="0"/>
    <x v="1"/>
    <x v="1"/>
    <x v="4"/>
    <x v="4"/>
    <x v="4"/>
    <x v="2"/>
    <x v="22"/>
    <x v="19"/>
    <x v="22"/>
    <x v="22"/>
    <x v="22"/>
    <x v="20"/>
    <x v="4"/>
  </r>
  <r>
    <x v="0"/>
    <x v="1"/>
    <x v="1"/>
    <x v="3"/>
    <x v="3"/>
    <x v="3"/>
    <x v="3"/>
    <x v="23"/>
    <x v="20"/>
    <x v="23"/>
    <x v="23"/>
    <x v="23"/>
    <x v="7"/>
    <x v="4"/>
  </r>
  <r>
    <x v="0"/>
    <x v="1"/>
    <x v="1"/>
    <x v="5"/>
    <x v="5"/>
    <x v="5"/>
    <x v="4"/>
    <x v="24"/>
    <x v="21"/>
    <x v="24"/>
    <x v="24"/>
    <x v="24"/>
    <x v="21"/>
    <x v="4"/>
  </r>
  <r>
    <x v="0"/>
    <x v="1"/>
    <x v="1"/>
    <x v="2"/>
    <x v="2"/>
    <x v="2"/>
    <x v="5"/>
    <x v="25"/>
    <x v="22"/>
    <x v="25"/>
    <x v="25"/>
    <x v="25"/>
    <x v="22"/>
    <x v="0"/>
  </r>
  <r>
    <x v="0"/>
    <x v="1"/>
    <x v="1"/>
    <x v="7"/>
    <x v="7"/>
    <x v="7"/>
    <x v="6"/>
    <x v="26"/>
    <x v="23"/>
    <x v="26"/>
    <x v="26"/>
    <x v="26"/>
    <x v="23"/>
    <x v="4"/>
  </r>
  <r>
    <x v="0"/>
    <x v="1"/>
    <x v="1"/>
    <x v="9"/>
    <x v="9"/>
    <x v="9"/>
    <x v="7"/>
    <x v="27"/>
    <x v="24"/>
    <x v="27"/>
    <x v="27"/>
    <x v="27"/>
    <x v="24"/>
    <x v="6"/>
  </r>
  <r>
    <x v="0"/>
    <x v="1"/>
    <x v="1"/>
    <x v="6"/>
    <x v="6"/>
    <x v="6"/>
    <x v="8"/>
    <x v="28"/>
    <x v="25"/>
    <x v="28"/>
    <x v="28"/>
    <x v="28"/>
    <x v="25"/>
    <x v="4"/>
  </r>
  <r>
    <x v="0"/>
    <x v="1"/>
    <x v="1"/>
    <x v="10"/>
    <x v="10"/>
    <x v="10"/>
    <x v="9"/>
    <x v="29"/>
    <x v="26"/>
    <x v="29"/>
    <x v="29"/>
    <x v="29"/>
    <x v="26"/>
    <x v="1"/>
  </r>
  <r>
    <x v="0"/>
    <x v="1"/>
    <x v="1"/>
    <x v="20"/>
    <x v="20"/>
    <x v="20"/>
    <x v="9"/>
    <x v="29"/>
    <x v="26"/>
    <x v="30"/>
    <x v="30"/>
    <x v="30"/>
    <x v="27"/>
    <x v="4"/>
  </r>
  <r>
    <x v="0"/>
    <x v="1"/>
    <x v="1"/>
    <x v="17"/>
    <x v="17"/>
    <x v="17"/>
    <x v="11"/>
    <x v="30"/>
    <x v="27"/>
    <x v="31"/>
    <x v="31"/>
    <x v="31"/>
    <x v="28"/>
    <x v="4"/>
  </r>
  <r>
    <x v="0"/>
    <x v="1"/>
    <x v="1"/>
    <x v="21"/>
    <x v="21"/>
    <x v="21"/>
    <x v="12"/>
    <x v="31"/>
    <x v="28"/>
    <x v="32"/>
    <x v="32"/>
    <x v="32"/>
    <x v="29"/>
    <x v="7"/>
  </r>
  <r>
    <x v="0"/>
    <x v="1"/>
    <x v="1"/>
    <x v="18"/>
    <x v="18"/>
    <x v="18"/>
    <x v="13"/>
    <x v="32"/>
    <x v="28"/>
    <x v="33"/>
    <x v="33"/>
    <x v="33"/>
    <x v="30"/>
    <x v="4"/>
  </r>
  <r>
    <x v="0"/>
    <x v="1"/>
    <x v="1"/>
    <x v="22"/>
    <x v="22"/>
    <x v="22"/>
    <x v="14"/>
    <x v="33"/>
    <x v="29"/>
    <x v="34"/>
    <x v="34"/>
    <x v="34"/>
    <x v="31"/>
    <x v="4"/>
  </r>
  <r>
    <x v="0"/>
    <x v="1"/>
    <x v="1"/>
    <x v="11"/>
    <x v="11"/>
    <x v="11"/>
    <x v="15"/>
    <x v="34"/>
    <x v="30"/>
    <x v="35"/>
    <x v="35"/>
    <x v="35"/>
    <x v="32"/>
    <x v="4"/>
  </r>
  <r>
    <x v="0"/>
    <x v="1"/>
    <x v="1"/>
    <x v="13"/>
    <x v="13"/>
    <x v="13"/>
    <x v="16"/>
    <x v="35"/>
    <x v="31"/>
    <x v="36"/>
    <x v="12"/>
    <x v="36"/>
    <x v="33"/>
    <x v="4"/>
  </r>
  <r>
    <x v="0"/>
    <x v="1"/>
    <x v="1"/>
    <x v="23"/>
    <x v="23"/>
    <x v="23"/>
    <x v="17"/>
    <x v="36"/>
    <x v="32"/>
    <x v="36"/>
    <x v="12"/>
    <x v="35"/>
    <x v="32"/>
    <x v="4"/>
  </r>
  <r>
    <x v="0"/>
    <x v="1"/>
    <x v="1"/>
    <x v="16"/>
    <x v="16"/>
    <x v="16"/>
    <x v="18"/>
    <x v="37"/>
    <x v="33"/>
    <x v="37"/>
    <x v="36"/>
    <x v="37"/>
    <x v="34"/>
    <x v="4"/>
  </r>
  <r>
    <x v="0"/>
    <x v="1"/>
    <x v="1"/>
    <x v="24"/>
    <x v="24"/>
    <x v="24"/>
    <x v="19"/>
    <x v="38"/>
    <x v="34"/>
    <x v="38"/>
    <x v="37"/>
    <x v="38"/>
    <x v="35"/>
    <x v="4"/>
  </r>
  <r>
    <x v="0"/>
    <x v="2"/>
    <x v="2"/>
    <x v="0"/>
    <x v="0"/>
    <x v="0"/>
    <x v="0"/>
    <x v="39"/>
    <x v="35"/>
    <x v="39"/>
    <x v="38"/>
    <x v="39"/>
    <x v="36"/>
    <x v="4"/>
  </r>
  <r>
    <x v="0"/>
    <x v="2"/>
    <x v="2"/>
    <x v="1"/>
    <x v="1"/>
    <x v="1"/>
    <x v="1"/>
    <x v="40"/>
    <x v="36"/>
    <x v="40"/>
    <x v="39"/>
    <x v="40"/>
    <x v="37"/>
    <x v="4"/>
  </r>
  <r>
    <x v="0"/>
    <x v="2"/>
    <x v="2"/>
    <x v="4"/>
    <x v="4"/>
    <x v="4"/>
    <x v="2"/>
    <x v="41"/>
    <x v="37"/>
    <x v="41"/>
    <x v="40"/>
    <x v="41"/>
    <x v="38"/>
    <x v="4"/>
  </r>
  <r>
    <x v="0"/>
    <x v="2"/>
    <x v="2"/>
    <x v="2"/>
    <x v="2"/>
    <x v="2"/>
    <x v="3"/>
    <x v="42"/>
    <x v="38"/>
    <x v="42"/>
    <x v="41"/>
    <x v="42"/>
    <x v="39"/>
    <x v="4"/>
  </r>
  <r>
    <x v="0"/>
    <x v="2"/>
    <x v="2"/>
    <x v="9"/>
    <x v="9"/>
    <x v="9"/>
    <x v="4"/>
    <x v="43"/>
    <x v="39"/>
    <x v="43"/>
    <x v="42"/>
    <x v="43"/>
    <x v="40"/>
    <x v="1"/>
  </r>
  <r>
    <x v="0"/>
    <x v="2"/>
    <x v="2"/>
    <x v="5"/>
    <x v="5"/>
    <x v="5"/>
    <x v="5"/>
    <x v="44"/>
    <x v="40"/>
    <x v="44"/>
    <x v="43"/>
    <x v="44"/>
    <x v="41"/>
    <x v="4"/>
  </r>
  <r>
    <x v="0"/>
    <x v="2"/>
    <x v="2"/>
    <x v="3"/>
    <x v="3"/>
    <x v="3"/>
    <x v="6"/>
    <x v="45"/>
    <x v="41"/>
    <x v="36"/>
    <x v="44"/>
    <x v="45"/>
    <x v="42"/>
    <x v="4"/>
  </r>
  <r>
    <x v="0"/>
    <x v="2"/>
    <x v="2"/>
    <x v="17"/>
    <x v="17"/>
    <x v="17"/>
    <x v="7"/>
    <x v="46"/>
    <x v="42"/>
    <x v="45"/>
    <x v="45"/>
    <x v="46"/>
    <x v="43"/>
    <x v="4"/>
  </r>
  <r>
    <x v="0"/>
    <x v="2"/>
    <x v="2"/>
    <x v="7"/>
    <x v="7"/>
    <x v="7"/>
    <x v="7"/>
    <x v="46"/>
    <x v="42"/>
    <x v="46"/>
    <x v="46"/>
    <x v="47"/>
    <x v="18"/>
    <x v="4"/>
  </r>
  <r>
    <x v="0"/>
    <x v="2"/>
    <x v="2"/>
    <x v="10"/>
    <x v="10"/>
    <x v="10"/>
    <x v="9"/>
    <x v="47"/>
    <x v="43"/>
    <x v="47"/>
    <x v="47"/>
    <x v="48"/>
    <x v="35"/>
    <x v="4"/>
  </r>
  <r>
    <x v="0"/>
    <x v="2"/>
    <x v="2"/>
    <x v="18"/>
    <x v="18"/>
    <x v="18"/>
    <x v="10"/>
    <x v="48"/>
    <x v="44"/>
    <x v="48"/>
    <x v="48"/>
    <x v="49"/>
    <x v="44"/>
    <x v="4"/>
  </r>
  <r>
    <x v="0"/>
    <x v="2"/>
    <x v="2"/>
    <x v="21"/>
    <x v="21"/>
    <x v="21"/>
    <x v="11"/>
    <x v="49"/>
    <x v="45"/>
    <x v="49"/>
    <x v="49"/>
    <x v="50"/>
    <x v="45"/>
    <x v="4"/>
  </r>
  <r>
    <x v="0"/>
    <x v="2"/>
    <x v="2"/>
    <x v="22"/>
    <x v="22"/>
    <x v="22"/>
    <x v="12"/>
    <x v="50"/>
    <x v="9"/>
    <x v="50"/>
    <x v="50"/>
    <x v="51"/>
    <x v="46"/>
    <x v="4"/>
  </r>
  <r>
    <x v="0"/>
    <x v="2"/>
    <x v="2"/>
    <x v="19"/>
    <x v="19"/>
    <x v="19"/>
    <x v="13"/>
    <x v="51"/>
    <x v="46"/>
    <x v="51"/>
    <x v="51"/>
    <x v="52"/>
    <x v="47"/>
    <x v="4"/>
  </r>
  <r>
    <x v="0"/>
    <x v="2"/>
    <x v="2"/>
    <x v="23"/>
    <x v="23"/>
    <x v="23"/>
    <x v="14"/>
    <x v="52"/>
    <x v="47"/>
    <x v="48"/>
    <x v="48"/>
    <x v="53"/>
    <x v="48"/>
    <x v="4"/>
  </r>
  <r>
    <x v="0"/>
    <x v="2"/>
    <x v="2"/>
    <x v="6"/>
    <x v="6"/>
    <x v="6"/>
    <x v="15"/>
    <x v="53"/>
    <x v="48"/>
    <x v="52"/>
    <x v="52"/>
    <x v="54"/>
    <x v="49"/>
    <x v="4"/>
  </r>
  <r>
    <x v="0"/>
    <x v="2"/>
    <x v="2"/>
    <x v="25"/>
    <x v="25"/>
    <x v="25"/>
    <x v="16"/>
    <x v="54"/>
    <x v="49"/>
    <x v="53"/>
    <x v="53"/>
    <x v="55"/>
    <x v="50"/>
    <x v="4"/>
  </r>
  <r>
    <x v="0"/>
    <x v="2"/>
    <x v="2"/>
    <x v="26"/>
    <x v="26"/>
    <x v="26"/>
    <x v="16"/>
    <x v="54"/>
    <x v="49"/>
    <x v="54"/>
    <x v="54"/>
    <x v="56"/>
    <x v="51"/>
    <x v="4"/>
  </r>
  <r>
    <x v="0"/>
    <x v="2"/>
    <x v="2"/>
    <x v="27"/>
    <x v="27"/>
    <x v="27"/>
    <x v="18"/>
    <x v="55"/>
    <x v="31"/>
    <x v="49"/>
    <x v="49"/>
    <x v="55"/>
    <x v="50"/>
    <x v="4"/>
  </r>
  <r>
    <x v="0"/>
    <x v="2"/>
    <x v="2"/>
    <x v="28"/>
    <x v="28"/>
    <x v="28"/>
    <x v="19"/>
    <x v="56"/>
    <x v="32"/>
    <x v="49"/>
    <x v="49"/>
    <x v="57"/>
    <x v="30"/>
    <x v="6"/>
  </r>
  <r>
    <x v="0"/>
    <x v="3"/>
    <x v="3"/>
    <x v="0"/>
    <x v="0"/>
    <x v="0"/>
    <x v="0"/>
    <x v="57"/>
    <x v="50"/>
    <x v="55"/>
    <x v="55"/>
    <x v="58"/>
    <x v="52"/>
    <x v="4"/>
  </r>
  <r>
    <x v="0"/>
    <x v="3"/>
    <x v="3"/>
    <x v="4"/>
    <x v="4"/>
    <x v="4"/>
    <x v="1"/>
    <x v="58"/>
    <x v="51"/>
    <x v="46"/>
    <x v="56"/>
    <x v="59"/>
    <x v="53"/>
    <x v="4"/>
  </r>
  <r>
    <x v="0"/>
    <x v="3"/>
    <x v="3"/>
    <x v="9"/>
    <x v="9"/>
    <x v="9"/>
    <x v="2"/>
    <x v="59"/>
    <x v="52"/>
    <x v="56"/>
    <x v="57"/>
    <x v="60"/>
    <x v="54"/>
    <x v="4"/>
  </r>
  <r>
    <x v="0"/>
    <x v="3"/>
    <x v="3"/>
    <x v="1"/>
    <x v="1"/>
    <x v="1"/>
    <x v="3"/>
    <x v="60"/>
    <x v="53"/>
    <x v="57"/>
    <x v="58"/>
    <x v="61"/>
    <x v="26"/>
    <x v="4"/>
  </r>
  <r>
    <x v="0"/>
    <x v="3"/>
    <x v="3"/>
    <x v="18"/>
    <x v="18"/>
    <x v="18"/>
    <x v="4"/>
    <x v="61"/>
    <x v="54"/>
    <x v="58"/>
    <x v="59"/>
    <x v="62"/>
    <x v="55"/>
    <x v="4"/>
  </r>
  <r>
    <x v="0"/>
    <x v="3"/>
    <x v="3"/>
    <x v="22"/>
    <x v="22"/>
    <x v="22"/>
    <x v="5"/>
    <x v="62"/>
    <x v="6"/>
    <x v="59"/>
    <x v="60"/>
    <x v="63"/>
    <x v="56"/>
    <x v="4"/>
  </r>
  <r>
    <x v="0"/>
    <x v="3"/>
    <x v="3"/>
    <x v="3"/>
    <x v="3"/>
    <x v="3"/>
    <x v="6"/>
    <x v="63"/>
    <x v="22"/>
    <x v="50"/>
    <x v="61"/>
    <x v="64"/>
    <x v="57"/>
    <x v="4"/>
  </r>
  <r>
    <x v="0"/>
    <x v="3"/>
    <x v="3"/>
    <x v="2"/>
    <x v="2"/>
    <x v="2"/>
    <x v="7"/>
    <x v="64"/>
    <x v="55"/>
    <x v="60"/>
    <x v="62"/>
    <x v="65"/>
    <x v="58"/>
    <x v="4"/>
  </r>
  <r>
    <x v="0"/>
    <x v="3"/>
    <x v="3"/>
    <x v="17"/>
    <x v="17"/>
    <x v="17"/>
    <x v="8"/>
    <x v="65"/>
    <x v="56"/>
    <x v="32"/>
    <x v="63"/>
    <x v="66"/>
    <x v="59"/>
    <x v="4"/>
  </r>
  <r>
    <x v="0"/>
    <x v="3"/>
    <x v="3"/>
    <x v="21"/>
    <x v="21"/>
    <x v="21"/>
    <x v="9"/>
    <x v="52"/>
    <x v="57"/>
    <x v="61"/>
    <x v="64"/>
    <x v="67"/>
    <x v="60"/>
    <x v="1"/>
  </r>
  <r>
    <x v="0"/>
    <x v="3"/>
    <x v="3"/>
    <x v="5"/>
    <x v="5"/>
    <x v="5"/>
    <x v="10"/>
    <x v="66"/>
    <x v="58"/>
    <x v="62"/>
    <x v="65"/>
    <x v="68"/>
    <x v="42"/>
    <x v="4"/>
  </r>
  <r>
    <x v="0"/>
    <x v="3"/>
    <x v="3"/>
    <x v="10"/>
    <x v="10"/>
    <x v="10"/>
    <x v="11"/>
    <x v="67"/>
    <x v="59"/>
    <x v="45"/>
    <x v="66"/>
    <x v="69"/>
    <x v="61"/>
    <x v="4"/>
  </r>
  <r>
    <x v="0"/>
    <x v="3"/>
    <x v="3"/>
    <x v="7"/>
    <x v="7"/>
    <x v="7"/>
    <x v="11"/>
    <x v="67"/>
    <x v="59"/>
    <x v="63"/>
    <x v="67"/>
    <x v="70"/>
    <x v="62"/>
    <x v="4"/>
  </r>
  <r>
    <x v="0"/>
    <x v="3"/>
    <x v="3"/>
    <x v="29"/>
    <x v="29"/>
    <x v="29"/>
    <x v="13"/>
    <x v="68"/>
    <x v="60"/>
    <x v="64"/>
    <x v="68"/>
    <x v="51"/>
    <x v="63"/>
    <x v="4"/>
  </r>
  <r>
    <x v="0"/>
    <x v="3"/>
    <x v="3"/>
    <x v="25"/>
    <x v="25"/>
    <x v="25"/>
    <x v="13"/>
    <x v="68"/>
    <x v="60"/>
    <x v="53"/>
    <x v="69"/>
    <x v="71"/>
    <x v="64"/>
    <x v="4"/>
  </r>
  <r>
    <x v="0"/>
    <x v="3"/>
    <x v="3"/>
    <x v="28"/>
    <x v="28"/>
    <x v="28"/>
    <x v="15"/>
    <x v="55"/>
    <x v="61"/>
    <x v="49"/>
    <x v="70"/>
    <x v="71"/>
    <x v="64"/>
    <x v="5"/>
  </r>
  <r>
    <x v="0"/>
    <x v="3"/>
    <x v="3"/>
    <x v="23"/>
    <x v="23"/>
    <x v="23"/>
    <x v="16"/>
    <x v="69"/>
    <x v="62"/>
    <x v="53"/>
    <x v="69"/>
    <x v="72"/>
    <x v="65"/>
    <x v="4"/>
  </r>
  <r>
    <x v="0"/>
    <x v="3"/>
    <x v="3"/>
    <x v="26"/>
    <x v="26"/>
    <x v="26"/>
    <x v="16"/>
    <x v="69"/>
    <x v="62"/>
    <x v="65"/>
    <x v="71"/>
    <x v="68"/>
    <x v="42"/>
    <x v="4"/>
  </r>
  <r>
    <x v="0"/>
    <x v="3"/>
    <x v="3"/>
    <x v="27"/>
    <x v="27"/>
    <x v="27"/>
    <x v="18"/>
    <x v="70"/>
    <x v="27"/>
    <x v="66"/>
    <x v="72"/>
    <x v="73"/>
    <x v="29"/>
    <x v="4"/>
  </r>
  <r>
    <x v="0"/>
    <x v="3"/>
    <x v="3"/>
    <x v="30"/>
    <x v="30"/>
    <x v="30"/>
    <x v="19"/>
    <x v="71"/>
    <x v="63"/>
    <x v="67"/>
    <x v="73"/>
    <x v="74"/>
    <x v="66"/>
    <x v="4"/>
  </r>
  <r>
    <x v="0"/>
    <x v="3"/>
    <x v="3"/>
    <x v="31"/>
    <x v="31"/>
    <x v="31"/>
    <x v="19"/>
    <x v="71"/>
    <x v="63"/>
    <x v="68"/>
    <x v="74"/>
    <x v="75"/>
    <x v="4"/>
    <x v="4"/>
  </r>
  <r>
    <x v="0"/>
    <x v="4"/>
    <x v="4"/>
    <x v="0"/>
    <x v="0"/>
    <x v="0"/>
    <x v="0"/>
    <x v="72"/>
    <x v="64"/>
    <x v="69"/>
    <x v="0"/>
    <x v="76"/>
    <x v="67"/>
    <x v="1"/>
  </r>
  <r>
    <x v="0"/>
    <x v="4"/>
    <x v="4"/>
    <x v="1"/>
    <x v="1"/>
    <x v="1"/>
    <x v="1"/>
    <x v="73"/>
    <x v="65"/>
    <x v="70"/>
    <x v="75"/>
    <x v="77"/>
    <x v="68"/>
    <x v="4"/>
  </r>
  <r>
    <x v="0"/>
    <x v="4"/>
    <x v="4"/>
    <x v="3"/>
    <x v="3"/>
    <x v="3"/>
    <x v="2"/>
    <x v="74"/>
    <x v="66"/>
    <x v="71"/>
    <x v="76"/>
    <x v="74"/>
    <x v="66"/>
    <x v="4"/>
  </r>
  <r>
    <x v="0"/>
    <x v="4"/>
    <x v="4"/>
    <x v="5"/>
    <x v="5"/>
    <x v="5"/>
    <x v="3"/>
    <x v="75"/>
    <x v="67"/>
    <x v="72"/>
    <x v="77"/>
    <x v="56"/>
    <x v="41"/>
    <x v="4"/>
  </r>
  <r>
    <x v="0"/>
    <x v="4"/>
    <x v="4"/>
    <x v="7"/>
    <x v="7"/>
    <x v="7"/>
    <x v="4"/>
    <x v="76"/>
    <x v="68"/>
    <x v="73"/>
    <x v="78"/>
    <x v="78"/>
    <x v="6"/>
    <x v="4"/>
  </r>
  <r>
    <x v="0"/>
    <x v="4"/>
    <x v="4"/>
    <x v="11"/>
    <x v="11"/>
    <x v="11"/>
    <x v="5"/>
    <x v="77"/>
    <x v="21"/>
    <x v="74"/>
    <x v="79"/>
    <x v="79"/>
    <x v="69"/>
    <x v="4"/>
  </r>
  <r>
    <x v="0"/>
    <x v="4"/>
    <x v="4"/>
    <x v="4"/>
    <x v="4"/>
    <x v="4"/>
    <x v="6"/>
    <x v="78"/>
    <x v="69"/>
    <x v="75"/>
    <x v="80"/>
    <x v="80"/>
    <x v="70"/>
    <x v="4"/>
  </r>
  <r>
    <x v="0"/>
    <x v="4"/>
    <x v="4"/>
    <x v="6"/>
    <x v="6"/>
    <x v="6"/>
    <x v="7"/>
    <x v="79"/>
    <x v="45"/>
    <x v="36"/>
    <x v="81"/>
    <x v="81"/>
    <x v="71"/>
    <x v="4"/>
  </r>
  <r>
    <x v="0"/>
    <x v="4"/>
    <x v="4"/>
    <x v="2"/>
    <x v="2"/>
    <x v="2"/>
    <x v="8"/>
    <x v="80"/>
    <x v="70"/>
    <x v="57"/>
    <x v="82"/>
    <x v="47"/>
    <x v="72"/>
    <x v="4"/>
  </r>
  <r>
    <x v="0"/>
    <x v="4"/>
    <x v="4"/>
    <x v="13"/>
    <x v="13"/>
    <x v="13"/>
    <x v="9"/>
    <x v="63"/>
    <x v="57"/>
    <x v="76"/>
    <x v="83"/>
    <x v="82"/>
    <x v="73"/>
    <x v="4"/>
  </r>
  <r>
    <x v="0"/>
    <x v="4"/>
    <x v="4"/>
    <x v="32"/>
    <x v="32"/>
    <x v="32"/>
    <x v="10"/>
    <x v="50"/>
    <x v="8"/>
    <x v="77"/>
    <x v="84"/>
    <x v="83"/>
    <x v="74"/>
    <x v="4"/>
  </r>
  <r>
    <x v="0"/>
    <x v="4"/>
    <x v="4"/>
    <x v="10"/>
    <x v="10"/>
    <x v="10"/>
    <x v="11"/>
    <x v="81"/>
    <x v="71"/>
    <x v="60"/>
    <x v="85"/>
    <x v="84"/>
    <x v="75"/>
    <x v="4"/>
  </r>
  <r>
    <x v="0"/>
    <x v="4"/>
    <x v="4"/>
    <x v="17"/>
    <x v="17"/>
    <x v="17"/>
    <x v="12"/>
    <x v="51"/>
    <x v="72"/>
    <x v="78"/>
    <x v="86"/>
    <x v="85"/>
    <x v="76"/>
    <x v="4"/>
  </r>
  <r>
    <x v="0"/>
    <x v="4"/>
    <x v="4"/>
    <x v="33"/>
    <x v="33"/>
    <x v="33"/>
    <x v="13"/>
    <x v="82"/>
    <x v="73"/>
    <x v="79"/>
    <x v="87"/>
    <x v="75"/>
    <x v="77"/>
    <x v="4"/>
  </r>
  <r>
    <x v="0"/>
    <x v="4"/>
    <x v="4"/>
    <x v="22"/>
    <x v="22"/>
    <x v="22"/>
    <x v="13"/>
    <x v="82"/>
    <x v="73"/>
    <x v="80"/>
    <x v="88"/>
    <x v="81"/>
    <x v="71"/>
    <x v="4"/>
  </r>
  <r>
    <x v="0"/>
    <x v="4"/>
    <x v="4"/>
    <x v="34"/>
    <x v="34"/>
    <x v="34"/>
    <x v="15"/>
    <x v="54"/>
    <x v="28"/>
    <x v="68"/>
    <x v="89"/>
    <x v="42"/>
    <x v="78"/>
    <x v="4"/>
  </r>
  <r>
    <x v="0"/>
    <x v="4"/>
    <x v="4"/>
    <x v="23"/>
    <x v="23"/>
    <x v="23"/>
    <x v="16"/>
    <x v="68"/>
    <x v="74"/>
    <x v="48"/>
    <x v="12"/>
    <x v="66"/>
    <x v="65"/>
    <x v="4"/>
  </r>
  <r>
    <x v="0"/>
    <x v="4"/>
    <x v="4"/>
    <x v="21"/>
    <x v="21"/>
    <x v="21"/>
    <x v="17"/>
    <x v="55"/>
    <x v="75"/>
    <x v="53"/>
    <x v="90"/>
    <x v="86"/>
    <x v="59"/>
    <x v="4"/>
  </r>
  <r>
    <x v="0"/>
    <x v="4"/>
    <x v="4"/>
    <x v="12"/>
    <x v="12"/>
    <x v="12"/>
    <x v="18"/>
    <x v="83"/>
    <x v="31"/>
    <x v="81"/>
    <x v="91"/>
    <x v="72"/>
    <x v="79"/>
    <x v="4"/>
  </r>
  <r>
    <x v="0"/>
    <x v="4"/>
    <x v="4"/>
    <x v="9"/>
    <x v="9"/>
    <x v="9"/>
    <x v="18"/>
    <x v="83"/>
    <x v="31"/>
    <x v="58"/>
    <x v="92"/>
    <x v="73"/>
    <x v="80"/>
    <x v="4"/>
  </r>
  <r>
    <x v="0"/>
    <x v="5"/>
    <x v="5"/>
    <x v="0"/>
    <x v="0"/>
    <x v="0"/>
    <x v="0"/>
    <x v="84"/>
    <x v="76"/>
    <x v="82"/>
    <x v="93"/>
    <x v="87"/>
    <x v="81"/>
    <x v="4"/>
  </r>
  <r>
    <x v="0"/>
    <x v="5"/>
    <x v="5"/>
    <x v="3"/>
    <x v="3"/>
    <x v="3"/>
    <x v="1"/>
    <x v="85"/>
    <x v="77"/>
    <x v="83"/>
    <x v="94"/>
    <x v="68"/>
    <x v="82"/>
    <x v="4"/>
  </r>
  <r>
    <x v="0"/>
    <x v="5"/>
    <x v="5"/>
    <x v="1"/>
    <x v="1"/>
    <x v="1"/>
    <x v="2"/>
    <x v="86"/>
    <x v="78"/>
    <x v="84"/>
    <x v="95"/>
    <x v="88"/>
    <x v="83"/>
    <x v="4"/>
  </r>
  <r>
    <x v="0"/>
    <x v="5"/>
    <x v="5"/>
    <x v="4"/>
    <x v="4"/>
    <x v="4"/>
    <x v="3"/>
    <x v="87"/>
    <x v="79"/>
    <x v="85"/>
    <x v="96"/>
    <x v="89"/>
    <x v="84"/>
    <x v="4"/>
  </r>
  <r>
    <x v="0"/>
    <x v="5"/>
    <x v="5"/>
    <x v="7"/>
    <x v="7"/>
    <x v="7"/>
    <x v="4"/>
    <x v="88"/>
    <x v="80"/>
    <x v="39"/>
    <x v="97"/>
    <x v="90"/>
    <x v="7"/>
    <x v="4"/>
  </r>
  <r>
    <x v="0"/>
    <x v="5"/>
    <x v="5"/>
    <x v="5"/>
    <x v="5"/>
    <x v="5"/>
    <x v="5"/>
    <x v="89"/>
    <x v="81"/>
    <x v="86"/>
    <x v="98"/>
    <x v="77"/>
    <x v="85"/>
    <x v="4"/>
  </r>
  <r>
    <x v="0"/>
    <x v="5"/>
    <x v="5"/>
    <x v="6"/>
    <x v="6"/>
    <x v="6"/>
    <x v="6"/>
    <x v="49"/>
    <x v="82"/>
    <x v="87"/>
    <x v="99"/>
    <x v="54"/>
    <x v="86"/>
    <x v="4"/>
  </r>
  <r>
    <x v="0"/>
    <x v="5"/>
    <x v="5"/>
    <x v="2"/>
    <x v="2"/>
    <x v="2"/>
    <x v="7"/>
    <x v="62"/>
    <x v="83"/>
    <x v="52"/>
    <x v="100"/>
    <x v="69"/>
    <x v="87"/>
    <x v="4"/>
  </r>
  <r>
    <x v="0"/>
    <x v="5"/>
    <x v="5"/>
    <x v="9"/>
    <x v="9"/>
    <x v="9"/>
    <x v="8"/>
    <x v="63"/>
    <x v="9"/>
    <x v="76"/>
    <x v="83"/>
    <x v="82"/>
    <x v="88"/>
    <x v="4"/>
  </r>
  <r>
    <x v="0"/>
    <x v="5"/>
    <x v="5"/>
    <x v="34"/>
    <x v="34"/>
    <x v="34"/>
    <x v="9"/>
    <x v="64"/>
    <x v="61"/>
    <x v="43"/>
    <x v="101"/>
    <x v="41"/>
    <x v="13"/>
    <x v="4"/>
  </r>
  <r>
    <x v="0"/>
    <x v="5"/>
    <x v="5"/>
    <x v="35"/>
    <x v="35"/>
    <x v="35"/>
    <x v="10"/>
    <x v="90"/>
    <x v="10"/>
    <x v="56"/>
    <x v="102"/>
    <x v="91"/>
    <x v="38"/>
    <x v="4"/>
  </r>
  <r>
    <x v="0"/>
    <x v="5"/>
    <x v="5"/>
    <x v="13"/>
    <x v="13"/>
    <x v="13"/>
    <x v="11"/>
    <x v="91"/>
    <x v="84"/>
    <x v="88"/>
    <x v="59"/>
    <x v="91"/>
    <x v="38"/>
    <x v="4"/>
  </r>
  <r>
    <x v="0"/>
    <x v="5"/>
    <x v="5"/>
    <x v="12"/>
    <x v="12"/>
    <x v="12"/>
    <x v="12"/>
    <x v="92"/>
    <x v="85"/>
    <x v="61"/>
    <x v="32"/>
    <x v="92"/>
    <x v="89"/>
    <x v="4"/>
  </r>
  <r>
    <x v="0"/>
    <x v="5"/>
    <x v="5"/>
    <x v="11"/>
    <x v="11"/>
    <x v="11"/>
    <x v="13"/>
    <x v="51"/>
    <x v="86"/>
    <x v="76"/>
    <x v="83"/>
    <x v="41"/>
    <x v="13"/>
    <x v="4"/>
  </r>
  <r>
    <x v="0"/>
    <x v="5"/>
    <x v="5"/>
    <x v="23"/>
    <x v="23"/>
    <x v="23"/>
    <x v="14"/>
    <x v="52"/>
    <x v="87"/>
    <x v="77"/>
    <x v="103"/>
    <x v="86"/>
    <x v="90"/>
    <x v="4"/>
  </r>
  <r>
    <x v="0"/>
    <x v="5"/>
    <x v="5"/>
    <x v="24"/>
    <x v="24"/>
    <x v="24"/>
    <x v="15"/>
    <x v="93"/>
    <x v="31"/>
    <x v="81"/>
    <x v="91"/>
    <x v="55"/>
    <x v="91"/>
    <x v="4"/>
  </r>
  <r>
    <x v="0"/>
    <x v="5"/>
    <x v="5"/>
    <x v="36"/>
    <x v="36"/>
    <x v="36"/>
    <x v="15"/>
    <x v="93"/>
    <x v="31"/>
    <x v="79"/>
    <x v="104"/>
    <x v="61"/>
    <x v="92"/>
    <x v="4"/>
  </r>
  <r>
    <x v="0"/>
    <x v="5"/>
    <x v="5"/>
    <x v="17"/>
    <x v="17"/>
    <x v="17"/>
    <x v="17"/>
    <x v="54"/>
    <x v="14"/>
    <x v="89"/>
    <x v="57"/>
    <x v="93"/>
    <x v="20"/>
    <x v="4"/>
  </r>
  <r>
    <x v="0"/>
    <x v="5"/>
    <x v="5"/>
    <x v="22"/>
    <x v="22"/>
    <x v="22"/>
    <x v="18"/>
    <x v="67"/>
    <x v="15"/>
    <x v="90"/>
    <x v="105"/>
    <x v="74"/>
    <x v="93"/>
    <x v="4"/>
  </r>
  <r>
    <x v="0"/>
    <x v="5"/>
    <x v="5"/>
    <x v="15"/>
    <x v="15"/>
    <x v="15"/>
    <x v="19"/>
    <x v="56"/>
    <x v="34"/>
    <x v="32"/>
    <x v="106"/>
    <x v="94"/>
    <x v="94"/>
    <x v="4"/>
  </r>
  <r>
    <x v="0"/>
    <x v="5"/>
    <x v="5"/>
    <x v="10"/>
    <x v="10"/>
    <x v="10"/>
    <x v="19"/>
    <x v="56"/>
    <x v="34"/>
    <x v="45"/>
    <x v="107"/>
    <x v="56"/>
    <x v="70"/>
    <x v="4"/>
  </r>
  <r>
    <x v="0"/>
    <x v="6"/>
    <x v="6"/>
    <x v="0"/>
    <x v="0"/>
    <x v="0"/>
    <x v="0"/>
    <x v="94"/>
    <x v="88"/>
    <x v="63"/>
    <x v="29"/>
    <x v="95"/>
    <x v="95"/>
    <x v="4"/>
  </r>
  <r>
    <x v="0"/>
    <x v="6"/>
    <x v="6"/>
    <x v="1"/>
    <x v="1"/>
    <x v="1"/>
    <x v="1"/>
    <x v="95"/>
    <x v="89"/>
    <x v="91"/>
    <x v="108"/>
    <x v="93"/>
    <x v="96"/>
    <x v="4"/>
  </r>
  <r>
    <x v="0"/>
    <x v="6"/>
    <x v="6"/>
    <x v="4"/>
    <x v="4"/>
    <x v="4"/>
    <x v="2"/>
    <x v="85"/>
    <x v="79"/>
    <x v="92"/>
    <x v="2"/>
    <x v="92"/>
    <x v="97"/>
    <x v="4"/>
  </r>
  <r>
    <x v="0"/>
    <x v="6"/>
    <x v="6"/>
    <x v="3"/>
    <x v="3"/>
    <x v="3"/>
    <x v="3"/>
    <x v="96"/>
    <x v="90"/>
    <x v="93"/>
    <x v="109"/>
    <x v="70"/>
    <x v="98"/>
    <x v="4"/>
  </r>
  <r>
    <x v="0"/>
    <x v="6"/>
    <x v="6"/>
    <x v="7"/>
    <x v="7"/>
    <x v="7"/>
    <x v="4"/>
    <x v="97"/>
    <x v="91"/>
    <x v="94"/>
    <x v="3"/>
    <x v="72"/>
    <x v="20"/>
    <x v="4"/>
  </r>
  <r>
    <x v="0"/>
    <x v="6"/>
    <x v="6"/>
    <x v="9"/>
    <x v="9"/>
    <x v="9"/>
    <x v="5"/>
    <x v="43"/>
    <x v="92"/>
    <x v="95"/>
    <x v="110"/>
    <x v="96"/>
    <x v="99"/>
    <x v="1"/>
  </r>
  <r>
    <x v="0"/>
    <x v="6"/>
    <x v="6"/>
    <x v="5"/>
    <x v="5"/>
    <x v="5"/>
    <x v="6"/>
    <x v="76"/>
    <x v="45"/>
    <x v="96"/>
    <x v="111"/>
    <x v="97"/>
    <x v="100"/>
    <x v="4"/>
  </r>
  <r>
    <x v="0"/>
    <x v="6"/>
    <x v="6"/>
    <x v="2"/>
    <x v="2"/>
    <x v="2"/>
    <x v="7"/>
    <x v="45"/>
    <x v="93"/>
    <x v="69"/>
    <x v="112"/>
    <x v="98"/>
    <x v="101"/>
    <x v="5"/>
  </r>
  <r>
    <x v="0"/>
    <x v="6"/>
    <x v="6"/>
    <x v="22"/>
    <x v="22"/>
    <x v="22"/>
    <x v="8"/>
    <x v="60"/>
    <x v="94"/>
    <x v="97"/>
    <x v="113"/>
    <x v="99"/>
    <x v="102"/>
    <x v="4"/>
  </r>
  <r>
    <x v="0"/>
    <x v="6"/>
    <x v="6"/>
    <x v="28"/>
    <x v="28"/>
    <x v="28"/>
    <x v="9"/>
    <x v="98"/>
    <x v="95"/>
    <x v="81"/>
    <x v="114"/>
    <x v="100"/>
    <x v="59"/>
    <x v="6"/>
  </r>
  <r>
    <x v="0"/>
    <x v="6"/>
    <x v="6"/>
    <x v="37"/>
    <x v="37"/>
    <x v="37"/>
    <x v="10"/>
    <x v="62"/>
    <x v="96"/>
    <x v="61"/>
    <x v="32"/>
    <x v="62"/>
    <x v="103"/>
    <x v="4"/>
  </r>
  <r>
    <x v="0"/>
    <x v="6"/>
    <x v="6"/>
    <x v="10"/>
    <x v="10"/>
    <x v="10"/>
    <x v="11"/>
    <x v="99"/>
    <x v="97"/>
    <x v="98"/>
    <x v="115"/>
    <x v="93"/>
    <x v="96"/>
    <x v="4"/>
  </r>
  <r>
    <x v="0"/>
    <x v="6"/>
    <x v="6"/>
    <x v="6"/>
    <x v="6"/>
    <x v="6"/>
    <x v="12"/>
    <x v="100"/>
    <x v="11"/>
    <x v="99"/>
    <x v="116"/>
    <x v="74"/>
    <x v="104"/>
    <x v="4"/>
  </r>
  <r>
    <x v="0"/>
    <x v="6"/>
    <x v="6"/>
    <x v="33"/>
    <x v="33"/>
    <x v="33"/>
    <x v="13"/>
    <x v="101"/>
    <x v="73"/>
    <x v="51"/>
    <x v="19"/>
    <x v="72"/>
    <x v="20"/>
    <x v="4"/>
  </r>
  <r>
    <x v="0"/>
    <x v="6"/>
    <x v="6"/>
    <x v="38"/>
    <x v="38"/>
    <x v="38"/>
    <x v="14"/>
    <x v="64"/>
    <x v="98"/>
    <x v="49"/>
    <x v="49"/>
    <x v="100"/>
    <x v="59"/>
    <x v="4"/>
  </r>
  <r>
    <x v="0"/>
    <x v="6"/>
    <x v="6"/>
    <x v="23"/>
    <x v="23"/>
    <x v="23"/>
    <x v="15"/>
    <x v="90"/>
    <x v="27"/>
    <x v="81"/>
    <x v="114"/>
    <x v="82"/>
    <x v="105"/>
    <x v="4"/>
  </r>
  <r>
    <x v="0"/>
    <x v="6"/>
    <x v="6"/>
    <x v="39"/>
    <x v="39"/>
    <x v="39"/>
    <x v="16"/>
    <x v="50"/>
    <x v="99"/>
    <x v="100"/>
    <x v="117"/>
    <x v="101"/>
    <x v="106"/>
    <x v="4"/>
  </r>
  <r>
    <x v="0"/>
    <x v="6"/>
    <x v="6"/>
    <x v="15"/>
    <x v="15"/>
    <x v="15"/>
    <x v="17"/>
    <x v="92"/>
    <x v="63"/>
    <x v="89"/>
    <x v="118"/>
    <x v="57"/>
    <x v="107"/>
    <x v="4"/>
  </r>
  <r>
    <x v="0"/>
    <x v="6"/>
    <x v="6"/>
    <x v="25"/>
    <x v="25"/>
    <x v="25"/>
    <x v="18"/>
    <x v="102"/>
    <x v="100"/>
    <x v="58"/>
    <x v="119"/>
    <x v="67"/>
    <x v="108"/>
    <x v="1"/>
  </r>
  <r>
    <x v="0"/>
    <x v="6"/>
    <x v="6"/>
    <x v="40"/>
    <x v="40"/>
    <x v="40"/>
    <x v="18"/>
    <x v="102"/>
    <x v="100"/>
    <x v="101"/>
    <x v="120"/>
    <x v="102"/>
    <x v="109"/>
    <x v="4"/>
  </r>
  <r>
    <x v="0"/>
    <x v="7"/>
    <x v="7"/>
    <x v="20"/>
    <x v="20"/>
    <x v="20"/>
    <x v="0"/>
    <x v="103"/>
    <x v="101"/>
    <x v="102"/>
    <x v="121"/>
    <x v="103"/>
    <x v="110"/>
    <x v="4"/>
  </r>
  <r>
    <x v="0"/>
    <x v="7"/>
    <x v="7"/>
    <x v="4"/>
    <x v="4"/>
    <x v="4"/>
    <x v="1"/>
    <x v="104"/>
    <x v="102"/>
    <x v="103"/>
    <x v="122"/>
    <x v="104"/>
    <x v="111"/>
    <x v="4"/>
  </r>
  <r>
    <x v="0"/>
    <x v="7"/>
    <x v="7"/>
    <x v="29"/>
    <x v="29"/>
    <x v="29"/>
    <x v="2"/>
    <x v="105"/>
    <x v="103"/>
    <x v="104"/>
    <x v="123"/>
    <x v="64"/>
    <x v="31"/>
    <x v="4"/>
  </r>
  <r>
    <x v="0"/>
    <x v="7"/>
    <x v="7"/>
    <x v="0"/>
    <x v="0"/>
    <x v="0"/>
    <x v="3"/>
    <x v="106"/>
    <x v="104"/>
    <x v="105"/>
    <x v="124"/>
    <x v="105"/>
    <x v="112"/>
    <x v="4"/>
  </r>
  <r>
    <x v="0"/>
    <x v="7"/>
    <x v="7"/>
    <x v="7"/>
    <x v="7"/>
    <x v="7"/>
    <x v="4"/>
    <x v="107"/>
    <x v="105"/>
    <x v="106"/>
    <x v="125"/>
    <x v="100"/>
    <x v="113"/>
    <x v="4"/>
  </r>
  <r>
    <x v="0"/>
    <x v="7"/>
    <x v="7"/>
    <x v="9"/>
    <x v="9"/>
    <x v="9"/>
    <x v="5"/>
    <x v="108"/>
    <x v="106"/>
    <x v="68"/>
    <x v="13"/>
    <x v="106"/>
    <x v="114"/>
    <x v="1"/>
  </r>
  <r>
    <x v="0"/>
    <x v="7"/>
    <x v="7"/>
    <x v="10"/>
    <x v="10"/>
    <x v="10"/>
    <x v="6"/>
    <x v="40"/>
    <x v="107"/>
    <x v="107"/>
    <x v="126"/>
    <x v="43"/>
    <x v="115"/>
    <x v="4"/>
  </r>
  <r>
    <x v="0"/>
    <x v="7"/>
    <x v="7"/>
    <x v="17"/>
    <x v="17"/>
    <x v="17"/>
    <x v="7"/>
    <x v="109"/>
    <x v="108"/>
    <x v="108"/>
    <x v="127"/>
    <x v="107"/>
    <x v="116"/>
    <x v="4"/>
  </r>
  <r>
    <x v="0"/>
    <x v="7"/>
    <x v="7"/>
    <x v="22"/>
    <x v="22"/>
    <x v="22"/>
    <x v="8"/>
    <x v="110"/>
    <x v="70"/>
    <x v="109"/>
    <x v="128"/>
    <x v="108"/>
    <x v="7"/>
    <x v="4"/>
  </r>
  <r>
    <x v="0"/>
    <x v="7"/>
    <x v="7"/>
    <x v="1"/>
    <x v="1"/>
    <x v="1"/>
    <x v="8"/>
    <x v="110"/>
    <x v="70"/>
    <x v="110"/>
    <x v="129"/>
    <x v="109"/>
    <x v="22"/>
    <x v="4"/>
  </r>
  <r>
    <x v="0"/>
    <x v="7"/>
    <x v="7"/>
    <x v="38"/>
    <x v="38"/>
    <x v="38"/>
    <x v="10"/>
    <x v="111"/>
    <x v="109"/>
    <x v="61"/>
    <x v="130"/>
    <x v="110"/>
    <x v="117"/>
    <x v="4"/>
  </r>
  <r>
    <x v="0"/>
    <x v="7"/>
    <x v="7"/>
    <x v="39"/>
    <x v="39"/>
    <x v="39"/>
    <x v="11"/>
    <x v="112"/>
    <x v="110"/>
    <x v="54"/>
    <x v="131"/>
    <x v="111"/>
    <x v="118"/>
    <x v="4"/>
  </r>
  <r>
    <x v="0"/>
    <x v="7"/>
    <x v="7"/>
    <x v="28"/>
    <x v="28"/>
    <x v="28"/>
    <x v="12"/>
    <x v="85"/>
    <x v="59"/>
    <x v="101"/>
    <x v="35"/>
    <x v="112"/>
    <x v="59"/>
    <x v="0"/>
  </r>
  <r>
    <x v="0"/>
    <x v="7"/>
    <x v="7"/>
    <x v="18"/>
    <x v="18"/>
    <x v="18"/>
    <x v="13"/>
    <x v="86"/>
    <x v="26"/>
    <x v="48"/>
    <x v="37"/>
    <x v="113"/>
    <x v="119"/>
    <x v="4"/>
  </r>
  <r>
    <x v="0"/>
    <x v="7"/>
    <x v="7"/>
    <x v="3"/>
    <x v="3"/>
    <x v="3"/>
    <x v="14"/>
    <x v="113"/>
    <x v="10"/>
    <x v="111"/>
    <x v="132"/>
    <x v="52"/>
    <x v="42"/>
    <x v="4"/>
  </r>
  <r>
    <x v="0"/>
    <x v="7"/>
    <x v="7"/>
    <x v="2"/>
    <x v="2"/>
    <x v="2"/>
    <x v="15"/>
    <x v="96"/>
    <x v="111"/>
    <x v="75"/>
    <x v="133"/>
    <x v="109"/>
    <x v="22"/>
    <x v="1"/>
  </r>
  <r>
    <x v="0"/>
    <x v="7"/>
    <x v="7"/>
    <x v="25"/>
    <x v="25"/>
    <x v="25"/>
    <x v="16"/>
    <x v="114"/>
    <x v="73"/>
    <x v="56"/>
    <x v="14"/>
    <x v="114"/>
    <x v="120"/>
    <x v="5"/>
  </r>
  <r>
    <x v="0"/>
    <x v="7"/>
    <x v="7"/>
    <x v="26"/>
    <x v="26"/>
    <x v="26"/>
    <x v="17"/>
    <x v="115"/>
    <x v="47"/>
    <x v="82"/>
    <x v="134"/>
    <x v="92"/>
    <x v="26"/>
    <x v="4"/>
  </r>
  <r>
    <x v="0"/>
    <x v="7"/>
    <x v="7"/>
    <x v="23"/>
    <x v="23"/>
    <x v="23"/>
    <x v="18"/>
    <x v="116"/>
    <x v="27"/>
    <x v="74"/>
    <x v="135"/>
    <x v="115"/>
    <x v="121"/>
    <x v="4"/>
  </r>
  <r>
    <x v="0"/>
    <x v="7"/>
    <x v="7"/>
    <x v="5"/>
    <x v="5"/>
    <x v="5"/>
    <x v="19"/>
    <x v="43"/>
    <x v="48"/>
    <x v="96"/>
    <x v="136"/>
    <x v="59"/>
    <x v="122"/>
    <x v="4"/>
  </r>
  <r>
    <x v="0"/>
    <x v="8"/>
    <x v="8"/>
    <x v="0"/>
    <x v="0"/>
    <x v="0"/>
    <x v="0"/>
    <x v="117"/>
    <x v="112"/>
    <x v="112"/>
    <x v="137"/>
    <x v="116"/>
    <x v="123"/>
    <x v="1"/>
  </r>
  <r>
    <x v="0"/>
    <x v="8"/>
    <x v="8"/>
    <x v="1"/>
    <x v="1"/>
    <x v="1"/>
    <x v="1"/>
    <x v="118"/>
    <x v="113"/>
    <x v="39"/>
    <x v="138"/>
    <x v="84"/>
    <x v="113"/>
    <x v="4"/>
  </r>
  <r>
    <x v="0"/>
    <x v="8"/>
    <x v="8"/>
    <x v="4"/>
    <x v="4"/>
    <x v="4"/>
    <x v="2"/>
    <x v="119"/>
    <x v="114"/>
    <x v="113"/>
    <x v="3"/>
    <x v="61"/>
    <x v="124"/>
    <x v="4"/>
  </r>
  <r>
    <x v="0"/>
    <x v="8"/>
    <x v="8"/>
    <x v="3"/>
    <x v="3"/>
    <x v="3"/>
    <x v="3"/>
    <x v="80"/>
    <x v="115"/>
    <x v="114"/>
    <x v="139"/>
    <x v="90"/>
    <x v="125"/>
    <x v="4"/>
  </r>
  <r>
    <x v="0"/>
    <x v="8"/>
    <x v="8"/>
    <x v="2"/>
    <x v="2"/>
    <x v="2"/>
    <x v="4"/>
    <x v="63"/>
    <x v="116"/>
    <x v="52"/>
    <x v="98"/>
    <x v="56"/>
    <x v="4"/>
    <x v="4"/>
  </r>
  <r>
    <x v="0"/>
    <x v="8"/>
    <x v="8"/>
    <x v="5"/>
    <x v="5"/>
    <x v="5"/>
    <x v="5"/>
    <x v="101"/>
    <x v="117"/>
    <x v="52"/>
    <x v="98"/>
    <x v="77"/>
    <x v="77"/>
    <x v="4"/>
  </r>
  <r>
    <x v="0"/>
    <x v="8"/>
    <x v="8"/>
    <x v="9"/>
    <x v="9"/>
    <x v="9"/>
    <x v="6"/>
    <x v="91"/>
    <x v="118"/>
    <x v="88"/>
    <x v="13"/>
    <x v="91"/>
    <x v="126"/>
    <x v="4"/>
  </r>
  <r>
    <x v="0"/>
    <x v="8"/>
    <x v="8"/>
    <x v="10"/>
    <x v="10"/>
    <x v="10"/>
    <x v="7"/>
    <x v="53"/>
    <x v="119"/>
    <x v="65"/>
    <x v="66"/>
    <x v="44"/>
    <x v="127"/>
    <x v="4"/>
  </r>
  <r>
    <x v="0"/>
    <x v="8"/>
    <x v="8"/>
    <x v="18"/>
    <x v="18"/>
    <x v="18"/>
    <x v="8"/>
    <x v="67"/>
    <x v="120"/>
    <x v="56"/>
    <x v="140"/>
    <x v="117"/>
    <x v="128"/>
    <x v="4"/>
  </r>
  <r>
    <x v="0"/>
    <x v="8"/>
    <x v="8"/>
    <x v="6"/>
    <x v="6"/>
    <x v="6"/>
    <x v="8"/>
    <x v="67"/>
    <x v="120"/>
    <x v="115"/>
    <x v="141"/>
    <x v="118"/>
    <x v="56"/>
    <x v="4"/>
  </r>
  <r>
    <x v="0"/>
    <x v="8"/>
    <x v="8"/>
    <x v="21"/>
    <x v="21"/>
    <x v="21"/>
    <x v="10"/>
    <x v="83"/>
    <x v="121"/>
    <x v="116"/>
    <x v="53"/>
    <x v="57"/>
    <x v="129"/>
    <x v="4"/>
  </r>
  <r>
    <x v="0"/>
    <x v="8"/>
    <x v="8"/>
    <x v="17"/>
    <x v="17"/>
    <x v="17"/>
    <x v="11"/>
    <x v="120"/>
    <x v="122"/>
    <x v="89"/>
    <x v="142"/>
    <x v="59"/>
    <x v="130"/>
    <x v="4"/>
  </r>
  <r>
    <x v="0"/>
    <x v="8"/>
    <x v="8"/>
    <x v="7"/>
    <x v="7"/>
    <x v="7"/>
    <x v="12"/>
    <x v="70"/>
    <x v="72"/>
    <x v="67"/>
    <x v="143"/>
    <x v="118"/>
    <x v="56"/>
    <x v="4"/>
  </r>
  <r>
    <x v="0"/>
    <x v="8"/>
    <x v="8"/>
    <x v="16"/>
    <x v="16"/>
    <x v="16"/>
    <x v="13"/>
    <x v="121"/>
    <x v="11"/>
    <x v="117"/>
    <x v="144"/>
    <x v="119"/>
    <x v="1"/>
    <x v="4"/>
  </r>
  <r>
    <x v="0"/>
    <x v="8"/>
    <x v="8"/>
    <x v="22"/>
    <x v="22"/>
    <x v="22"/>
    <x v="14"/>
    <x v="122"/>
    <x v="73"/>
    <x v="67"/>
    <x v="143"/>
    <x v="54"/>
    <x v="131"/>
    <x v="4"/>
  </r>
  <r>
    <x v="0"/>
    <x v="8"/>
    <x v="8"/>
    <x v="34"/>
    <x v="34"/>
    <x v="34"/>
    <x v="15"/>
    <x v="123"/>
    <x v="123"/>
    <x v="95"/>
    <x v="145"/>
    <x v="120"/>
    <x v="105"/>
    <x v="4"/>
  </r>
  <r>
    <x v="0"/>
    <x v="8"/>
    <x v="8"/>
    <x v="33"/>
    <x v="33"/>
    <x v="33"/>
    <x v="16"/>
    <x v="124"/>
    <x v="124"/>
    <x v="100"/>
    <x v="146"/>
    <x v="77"/>
    <x v="77"/>
    <x v="4"/>
  </r>
  <r>
    <x v="0"/>
    <x v="8"/>
    <x v="8"/>
    <x v="23"/>
    <x v="23"/>
    <x v="23"/>
    <x v="17"/>
    <x v="125"/>
    <x v="125"/>
    <x v="58"/>
    <x v="12"/>
    <x v="98"/>
    <x v="108"/>
    <x v="4"/>
  </r>
  <r>
    <x v="0"/>
    <x v="8"/>
    <x v="8"/>
    <x v="39"/>
    <x v="39"/>
    <x v="39"/>
    <x v="18"/>
    <x v="126"/>
    <x v="126"/>
    <x v="118"/>
    <x v="147"/>
    <x v="119"/>
    <x v="1"/>
    <x v="4"/>
  </r>
  <r>
    <x v="0"/>
    <x v="8"/>
    <x v="8"/>
    <x v="26"/>
    <x v="26"/>
    <x v="26"/>
    <x v="18"/>
    <x v="126"/>
    <x v="126"/>
    <x v="119"/>
    <x v="148"/>
    <x v="90"/>
    <x v="125"/>
    <x v="4"/>
  </r>
  <r>
    <x v="0"/>
    <x v="9"/>
    <x v="9"/>
    <x v="0"/>
    <x v="0"/>
    <x v="0"/>
    <x v="0"/>
    <x v="127"/>
    <x v="127"/>
    <x v="33"/>
    <x v="149"/>
    <x v="104"/>
    <x v="132"/>
    <x v="4"/>
  </r>
  <r>
    <x v="0"/>
    <x v="9"/>
    <x v="9"/>
    <x v="2"/>
    <x v="2"/>
    <x v="2"/>
    <x v="1"/>
    <x v="45"/>
    <x v="128"/>
    <x v="75"/>
    <x v="150"/>
    <x v="75"/>
    <x v="133"/>
    <x v="4"/>
  </r>
  <r>
    <x v="0"/>
    <x v="9"/>
    <x v="9"/>
    <x v="1"/>
    <x v="1"/>
    <x v="1"/>
    <x v="2"/>
    <x v="59"/>
    <x v="129"/>
    <x v="46"/>
    <x v="109"/>
    <x v="70"/>
    <x v="16"/>
    <x v="4"/>
  </r>
  <r>
    <x v="0"/>
    <x v="9"/>
    <x v="9"/>
    <x v="5"/>
    <x v="5"/>
    <x v="5"/>
    <x v="3"/>
    <x v="64"/>
    <x v="89"/>
    <x v="120"/>
    <x v="151"/>
    <x v="80"/>
    <x v="134"/>
    <x v="4"/>
  </r>
  <r>
    <x v="0"/>
    <x v="9"/>
    <x v="9"/>
    <x v="3"/>
    <x v="3"/>
    <x v="3"/>
    <x v="4"/>
    <x v="90"/>
    <x v="39"/>
    <x v="121"/>
    <x v="152"/>
    <x v="63"/>
    <x v="135"/>
    <x v="4"/>
  </r>
  <r>
    <x v="0"/>
    <x v="9"/>
    <x v="9"/>
    <x v="4"/>
    <x v="4"/>
    <x v="4"/>
    <x v="5"/>
    <x v="92"/>
    <x v="115"/>
    <x v="38"/>
    <x v="153"/>
    <x v="68"/>
    <x v="136"/>
    <x v="4"/>
  </r>
  <r>
    <x v="0"/>
    <x v="9"/>
    <x v="9"/>
    <x v="9"/>
    <x v="9"/>
    <x v="9"/>
    <x v="6"/>
    <x v="102"/>
    <x v="130"/>
    <x v="76"/>
    <x v="124"/>
    <x v="53"/>
    <x v="137"/>
    <x v="4"/>
  </r>
  <r>
    <x v="0"/>
    <x v="9"/>
    <x v="9"/>
    <x v="6"/>
    <x v="6"/>
    <x v="6"/>
    <x v="7"/>
    <x v="128"/>
    <x v="131"/>
    <x v="62"/>
    <x v="98"/>
    <x v="74"/>
    <x v="25"/>
    <x v="4"/>
  </r>
  <r>
    <x v="0"/>
    <x v="9"/>
    <x v="9"/>
    <x v="7"/>
    <x v="7"/>
    <x v="7"/>
    <x v="8"/>
    <x v="70"/>
    <x v="132"/>
    <x v="122"/>
    <x v="154"/>
    <x v="81"/>
    <x v="86"/>
    <x v="4"/>
  </r>
  <r>
    <x v="0"/>
    <x v="9"/>
    <x v="9"/>
    <x v="22"/>
    <x v="22"/>
    <x v="22"/>
    <x v="9"/>
    <x v="123"/>
    <x v="94"/>
    <x v="63"/>
    <x v="0"/>
    <x v="121"/>
    <x v="138"/>
    <x v="4"/>
  </r>
  <r>
    <x v="0"/>
    <x v="9"/>
    <x v="9"/>
    <x v="33"/>
    <x v="33"/>
    <x v="33"/>
    <x v="10"/>
    <x v="129"/>
    <x v="96"/>
    <x v="123"/>
    <x v="155"/>
    <x v="64"/>
    <x v="139"/>
    <x v="4"/>
  </r>
  <r>
    <x v="0"/>
    <x v="9"/>
    <x v="9"/>
    <x v="16"/>
    <x v="16"/>
    <x v="16"/>
    <x v="10"/>
    <x v="129"/>
    <x v="96"/>
    <x v="100"/>
    <x v="156"/>
    <x v="44"/>
    <x v="140"/>
    <x v="4"/>
  </r>
  <r>
    <x v="0"/>
    <x v="9"/>
    <x v="9"/>
    <x v="21"/>
    <x v="21"/>
    <x v="21"/>
    <x v="12"/>
    <x v="130"/>
    <x v="11"/>
    <x v="116"/>
    <x v="92"/>
    <x v="52"/>
    <x v="141"/>
    <x v="4"/>
  </r>
  <r>
    <x v="0"/>
    <x v="9"/>
    <x v="9"/>
    <x v="10"/>
    <x v="10"/>
    <x v="10"/>
    <x v="13"/>
    <x v="131"/>
    <x v="47"/>
    <x v="117"/>
    <x v="157"/>
    <x v="99"/>
    <x v="70"/>
    <x v="4"/>
  </r>
  <r>
    <x v="0"/>
    <x v="9"/>
    <x v="9"/>
    <x v="11"/>
    <x v="11"/>
    <x v="11"/>
    <x v="14"/>
    <x v="124"/>
    <x v="133"/>
    <x v="48"/>
    <x v="158"/>
    <x v="94"/>
    <x v="142"/>
    <x v="4"/>
  </r>
  <r>
    <x v="0"/>
    <x v="9"/>
    <x v="9"/>
    <x v="15"/>
    <x v="15"/>
    <x v="15"/>
    <x v="14"/>
    <x v="124"/>
    <x v="133"/>
    <x v="56"/>
    <x v="159"/>
    <x v="61"/>
    <x v="108"/>
    <x v="4"/>
  </r>
  <r>
    <x v="0"/>
    <x v="9"/>
    <x v="9"/>
    <x v="19"/>
    <x v="19"/>
    <x v="19"/>
    <x v="16"/>
    <x v="132"/>
    <x v="87"/>
    <x v="68"/>
    <x v="160"/>
    <x v="80"/>
    <x v="134"/>
    <x v="4"/>
  </r>
  <r>
    <x v="0"/>
    <x v="9"/>
    <x v="9"/>
    <x v="24"/>
    <x v="24"/>
    <x v="24"/>
    <x v="17"/>
    <x v="133"/>
    <x v="134"/>
    <x v="61"/>
    <x v="64"/>
    <x v="94"/>
    <x v="142"/>
    <x v="4"/>
  </r>
  <r>
    <x v="0"/>
    <x v="9"/>
    <x v="9"/>
    <x v="18"/>
    <x v="18"/>
    <x v="18"/>
    <x v="17"/>
    <x v="133"/>
    <x v="134"/>
    <x v="81"/>
    <x v="161"/>
    <x v="108"/>
    <x v="143"/>
    <x v="4"/>
  </r>
  <r>
    <x v="0"/>
    <x v="9"/>
    <x v="9"/>
    <x v="41"/>
    <x v="41"/>
    <x v="41"/>
    <x v="19"/>
    <x v="134"/>
    <x v="15"/>
    <x v="56"/>
    <x v="159"/>
    <x v="119"/>
    <x v="144"/>
    <x v="4"/>
  </r>
  <r>
    <x v="0"/>
    <x v="9"/>
    <x v="9"/>
    <x v="40"/>
    <x v="40"/>
    <x v="40"/>
    <x v="19"/>
    <x v="134"/>
    <x v="15"/>
    <x v="74"/>
    <x v="117"/>
    <x v="77"/>
    <x v="53"/>
    <x v="4"/>
  </r>
  <r>
    <x v="0"/>
    <x v="10"/>
    <x v="10"/>
    <x v="0"/>
    <x v="0"/>
    <x v="0"/>
    <x v="0"/>
    <x v="135"/>
    <x v="135"/>
    <x v="124"/>
    <x v="162"/>
    <x v="91"/>
    <x v="145"/>
    <x v="4"/>
  </r>
  <r>
    <x v="0"/>
    <x v="10"/>
    <x v="10"/>
    <x v="3"/>
    <x v="3"/>
    <x v="3"/>
    <x v="1"/>
    <x v="62"/>
    <x v="136"/>
    <x v="125"/>
    <x v="163"/>
    <x v="78"/>
    <x v="146"/>
    <x v="4"/>
  </r>
  <r>
    <x v="0"/>
    <x v="10"/>
    <x v="10"/>
    <x v="7"/>
    <x v="7"/>
    <x v="7"/>
    <x v="2"/>
    <x v="66"/>
    <x v="137"/>
    <x v="64"/>
    <x v="108"/>
    <x v="64"/>
    <x v="147"/>
    <x v="4"/>
  </r>
  <r>
    <x v="0"/>
    <x v="10"/>
    <x v="10"/>
    <x v="1"/>
    <x v="1"/>
    <x v="1"/>
    <x v="3"/>
    <x v="55"/>
    <x v="138"/>
    <x v="126"/>
    <x v="164"/>
    <x v="45"/>
    <x v="148"/>
    <x v="4"/>
  </r>
  <r>
    <x v="0"/>
    <x v="10"/>
    <x v="10"/>
    <x v="4"/>
    <x v="4"/>
    <x v="4"/>
    <x v="4"/>
    <x v="83"/>
    <x v="139"/>
    <x v="127"/>
    <x v="165"/>
    <x v="70"/>
    <x v="96"/>
    <x v="4"/>
  </r>
  <r>
    <x v="0"/>
    <x v="10"/>
    <x v="10"/>
    <x v="6"/>
    <x v="6"/>
    <x v="6"/>
    <x v="5"/>
    <x v="121"/>
    <x v="23"/>
    <x v="63"/>
    <x v="166"/>
    <x v="54"/>
    <x v="102"/>
    <x v="4"/>
  </r>
  <r>
    <x v="0"/>
    <x v="10"/>
    <x v="10"/>
    <x v="5"/>
    <x v="5"/>
    <x v="5"/>
    <x v="6"/>
    <x v="71"/>
    <x v="140"/>
    <x v="54"/>
    <x v="2"/>
    <x v="122"/>
    <x v="135"/>
    <x v="4"/>
  </r>
  <r>
    <x v="0"/>
    <x v="10"/>
    <x v="10"/>
    <x v="9"/>
    <x v="9"/>
    <x v="9"/>
    <x v="7"/>
    <x v="129"/>
    <x v="93"/>
    <x v="81"/>
    <x v="167"/>
    <x v="85"/>
    <x v="149"/>
    <x v="4"/>
  </r>
  <r>
    <x v="0"/>
    <x v="10"/>
    <x v="10"/>
    <x v="24"/>
    <x v="24"/>
    <x v="24"/>
    <x v="8"/>
    <x v="131"/>
    <x v="58"/>
    <x v="49"/>
    <x v="168"/>
    <x v="123"/>
    <x v="150"/>
    <x v="4"/>
  </r>
  <r>
    <x v="0"/>
    <x v="10"/>
    <x v="10"/>
    <x v="2"/>
    <x v="2"/>
    <x v="2"/>
    <x v="9"/>
    <x v="136"/>
    <x v="141"/>
    <x v="119"/>
    <x v="169"/>
    <x v="64"/>
    <x v="147"/>
    <x v="4"/>
  </r>
  <r>
    <x v="0"/>
    <x v="10"/>
    <x v="10"/>
    <x v="42"/>
    <x v="42"/>
    <x v="42"/>
    <x v="10"/>
    <x v="133"/>
    <x v="111"/>
    <x v="116"/>
    <x v="170"/>
    <x v="65"/>
    <x v="151"/>
    <x v="4"/>
  </r>
  <r>
    <x v="0"/>
    <x v="10"/>
    <x v="10"/>
    <x v="23"/>
    <x v="23"/>
    <x v="23"/>
    <x v="10"/>
    <x v="133"/>
    <x v="111"/>
    <x v="61"/>
    <x v="171"/>
    <x v="94"/>
    <x v="88"/>
    <x v="4"/>
  </r>
  <r>
    <x v="0"/>
    <x v="10"/>
    <x v="10"/>
    <x v="10"/>
    <x v="10"/>
    <x v="10"/>
    <x v="12"/>
    <x v="137"/>
    <x v="27"/>
    <x v="128"/>
    <x v="172"/>
    <x v="124"/>
    <x v="152"/>
    <x v="4"/>
  </r>
  <r>
    <x v="0"/>
    <x v="10"/>
    <x v="10"/>
    <x v="35"/>
    <x v="35"/>
    <x v="35"/>
    <x v="13"/>
    <x v="138"/>
    <x v="12"/>
    <x v="49"/>
    <x v="168"/>
    <x v="108"/>
    <x v="153"/>
    <x v="4"/>
  </r>
  <r>
    <x v="0"/>
    <x v="10"/>
    <x v="10"/>
    <x v="15"/>
    <x v="15"/>
    <x v="15"/>
    <x v="14"/>
    <x v="139"/>
    <x v="100"/>
    <x v="74"/>
    <x v="173"/>
    <x v="45"/>
    <x v="148"/>
    <x v="4"/>
  </r>
  <r>
    <x v="0"/>
    <x v="10"/>
    <x v="10"/>
    <x v="12"/>
    <x v="12"/>
    <x v="12"/>
    <x v="15"/>
    <x v="140"/>
    <x v="14"/>
    <x v="49"/>
    <x v="168"/>
    <x v="69"/>
    <x v="154"/>
    <x v="4"/>
  </r>
  <r>
    <x v="0"/>
    <x v="10"/>
    <x v="10"/>
    <x v="33"/>
    <x v="33"/>
    <x v="33"/>
    <x v="15"/>
    <x v="140"/>
    <x v="14"/>
    <x v="56"/>
    <x v="174"/>
    <x v="68"/>
    <x v="22"/>
    <x v="4"/>
  </r>
  <r>
    <x v="0"/>
    <x v="10"/>
    <x v="10"/>
    <x v="22"/>
    <x v="22"/>
    <x v="22"/>
    <x v="17"/>
    <x v="141"/>
    <x v="142"/>
    <x v="68"/>
    <x v="175"/>
    <x v="78"/>
    <x v="146"/>
    <x v="4"/>
  </r>
  <r>
    <x v="0"/>
    <x v="10"/>
    <x v="10"/>
    <x v="43"/>
    <x v="43"/>
    <x v="43"/>
    <x v="18"/>
    <x v="142"/>
    <x v="143"/>
    <x v="61"/>
    <x v="171"/>
    <x v="77"/>
    <x v="155"/>
    <x v="4"/>
  </r>
  <r>
    <x v="0"/>
    <x v="10"/>
    <x v="10"/>
    <x v="26"/>
    <x v="26"/>
    <x v="26"/>
    <x v="18"/>
    <x v="142"/>
    <x v="143"/>
    <x v="56"/>
    <x v="174"/>
    <x v="99"/>
    <x v="156"/>
    <x v="4"/>
  </r>
  <r>
    <x v="0"/>
    <x v="11"/>
    <x v="11"/>
    <x v="1"/>
    <x v="1"/>
    <x v="1"/>
    <x v="0"/>
    <x v="143"/>
    <x v="144"/>
    <x v="129"/>
    <x v="176"/>
    <x v="56"/>
    <x v="152"/>
    <x v="4"/>
  </r>
  <r>
    <x v="0"/>
    <x v="11"/>
    <x v="11"/>
    <x v="3"/>
    <x v="3"/>
    <x v="3"/>
    <x v="1"/>
    <x v="96"/>
    <x v="145"/>
    <x v="41"/>
    <x v="177"/>
    <x v="78"/>
    <x v="63"/>
    <x v="4"/>
  </r>
  <r>
    <x v="0"/>
    <x v="11"/>
    <x v="11"/>
    <x v="6"/>
    <x v="6"/>
    <x v="6"/>
    <x v="2"/>
    <x v="43"/>
    <x v="146"/>
    <x v="112"/>
    <x v="178"/>
    <x v="74"/>
    <x v="157"/>
    <x v="4"/>
  </r>
  <r>
    <x v="0"/>
    <x v="11"/>
    <x v="11"/>
    <x v="0"/>
    <x v="0"/>
    <x v="0"/>
    <x v="3"/>
    <x v="144"/>
    <x v="91"/>
    <x v="53"/>
    <x v="179"/>
    <x v="114"/>
    <x v="158"/>
    <x v="4"/>
  </r>
  <r>
    <x v="0"/>
    <x v="11"/>
    <x v="11"/>
    <x v="5"/>
    <x v="5"/>
    <x v="5"/>
    <x v="4"/>
    <x v="145"/>
    <x v="147"/>
    <x v="72"/>
    <x v="139"/>
    <x v="47"/>
    <x v="159"/>
    <x v="4"/>
  </r>
  <r>
    <x v="0"/>
    <x v="11"/>
    <x v="11"/>
    <x v="7"/>
    <x v="7"/>
    <x v="7"/>
    <x v="5"/>
    <x v="146"/>
    <x v="55"/>
    <x v="130"/>
    <x v="164"/>
    <x v="63"/>
    <x v="102"/>
    <x v="4"/>
  </r>
  <r>
    <x v="0"/>
    <x v="11"/>
    <x v="11"/>
    <x v="4"/>
    <x v="4"/>
    <x v="4"/>
    <x v="6"/>
    <x v="147"/>
    <x v="44"/>
    <x v="86"/>
    <x v="180"/>
    <x v="44"/>
    <x v="87"/>
    <x v="4"/>
  </r>
  <r>
    <x v="0"/>
    <x v="11"/>
    <x v="11"/>
    <x v="8"/>
    <x v="8"/>
    <x v="8"/>
    <x v="7"/>
    <x v="148"/>
    <x v="7"/>
    <x v="108"/>
    <x v="181"/>
    <x v="125"/>
    <x v="160"/>
    <x v="4"/>
  </r>
  <r>
    <x v="0"/>
    <x v="11"/>
    <x v="11"/>
    <x v="36"/>
    <x v="36"/>
    <x v="36"/>
    <x v="8"/>
    <x v="149"/>
    <x v="58"/>
    <x v="131"/>
    <x v="182"/>
    <x v="126"/>
    <x v="109"/>
    <x v="4"/>
  </r>
  <r>
    <x v="0"/>
    <x v="11"/>
    <x v="11"/>
    <x v="2"/>
    <x v="2"/>
    <x v="2"/>
    <x v="9"/>
    <x v="61"/>
    <x v="148"/>
    <x v="132"/>
    <x v="183"/>
    <x v="88"/>
    <x v="16"/>
    <x v="4"/>
  </r>
  <r>
    <x v="0"/>
    <x v="11"/>
    <x v="11"/>
    <x v="11"/>
    <x v="11"/>
    <x v="11"/>
    <x v="10"/>
    <x v="99"/>
    <x v="83"/>
    <x v="68"/>
    <x v="184"/>
    <x v="91"/>
    <x v="161"/>
    <x v="4"/>
  </r>
  <r>
    <x v="0"/>
    <x v="11"/>
    <x v="11"/>
    <x v="44"/>
    <x v="44"/>
    <x v="44"/>
    <x v="11"/>
    <x v="64"/>
    <x v="60"/>
    <x v="43"/>
    <x v="127"/>
    <x v="41"/>
    <x v="79"/>
    <x v="4"/>
  </r>
  <r>
    <x v="0"/>
    <x v="11"/>
    <x v="11"/>
    <x v="13"/>
    <x v="13"/>
    <x v="13"/>
    <x v="12"/>
    <x v="50"/>
    <x v="149"/>
    <x v="95"/>
    <x v="35"/>
    <x v="91"/>
    <x v="161"/>
    <x v="4"/>
  </r>
  <r>
    <x v="0"/>
    <x v="11"/>
    <x v="11"/>
    <x v="45"/>
    <x v="45"/>
    <x v="45"/>
    <x v="13"/>
    <x v="92"/>
    <x v="47"/>
    <x v="77"/>
    <x v="185"/>
    <x v="41"/>
    <x v="79"/>
    <x v="4"/>
  </r>
  <r>
    <x v="0"/>
    <x v="11"/>
    <x v="11"/>
    <x v="24"/>
    <x v="24"/>
    <x v="24"/>
    <x v="14"/>
    <x v="51"/>
    <x v="123"/>
    <x v="88"/>
    <x v="186"/>
    <x v="127"/>
    <x v="142"/>
    <x v="4"/>
  </r>
  <r>
    <x v="0"/>
    <x v="11"/>
    <x v="11"/>
    <x v="33"/>
    <x v="33"/>
    <x v="33"/>
    <x v="15"/>
    <x v="66"/>
    <x v="87"/>
    <x v="55"/>
    <x v="29"/>
    <x v="80"/>
    <x v="162"/>
    <x v="4"/>
  </r>
  <r>
    <x v="0"/>
    <x v="11"/>
    <x v="11"/>
    <x v="23"/>
    <x v="23"/>
    <x v="23"/>
    <x v="16"/>
    <x v="82"/>
    <x v="12"/>
    <x v="95"/>
    <x v="35"/>
    <x v="102"/>
    <x v="154"/>
    <x v="4"/>
  </r>
  <r>
    <x v="0"/>
    <x v="11"/>
    <x v="11"/>
    <x v="16"/>
    <x v="16"/>
    <x v="16"/>
    <x v="17"/>
    <x v="150"/>
    <x v="31"/>
    <x v="45"/>
    <x v="187"/>
    <x v="108"/>
    <x v="136"/>
    <x v="4"/>
  </r>
  <r>
    <x v="0"/>
    <x v="11"/>
    <x v="11"/>
    <x v="10"/>
    <x v="10"/>
    <x v="10"/>
    <x v="18"/>
    <x v="67"/>
    <x v="14"/>
    <x v="133"/>
    <x v="107"/>
    <x v="44"/>
    <x v="87"/>
    <x v="4"/>
  </r>
  <r>
    <x v="0"/>
    <x v="11"/>
    <x v="11"/>
    <x v="46"/>
    <x v="46"/>
    <x v="46"/>
    <x v="19"/>
    <x v="55"/>
    <x v="150"/>
    <x v="134"/>
    <x v="188"/>
    <x v="65"/>
    <x v="163"/>
    <x v="4"/>
  </r>
  <r>
    <x v="0"/>
    <x v="12"/>
    <x v="12"/>
    <x v="3"/>
    <x v="3"/>
    <x v="3"/>
    <x v="0"/>
    <x v="76"/>
    <x v="151"/>
    <x v="135"/>
    <x v="189"/>
    <x v="90"/>
    <x v="135"/>
    <x v="4"/>
  </r>
  <r>
    <x v="0"/>
    <x v="12"/>
    <x v="12"/>
    <x v="1"/>
    <x v="1"/>
    <x v="1"/>
    <x v="1"/>
    <x v="46"/>
    <x v="152"/>
    <x v="36"/>
    <x v="190"/>
    <x v="90"/>
    <x v="135"/>
    <x v="4"/>
  </r>
  <r>
    <x v="0"/>
    <x v="12"/>
    <x v="12"/>
    <x v="44"/>
    <x v="44"/>
    <x v="44"/>
    <x v="2"/>
    <x v="99"/>
    <x v="153"/>
    <x v="56"/>
    <x v="147"/>
    <x v="82"/>
    <x v="164"/>
    <x v="4"/>
  </r>
  <r>
    <x v="0"/>
    <x v="12"/>
    <x v="12"/>
    <x v="0"/>
    <x v="0"/>
    <x v="0"/>
    <x v="3"/>
    <x v="151"/>
    <x v="154"/>
    <x v="48"/>
    <x v="191"/>
    <x v="82"/>
    <x v="164"/>
    <x v="4"/>
  </r>
  <r>
    <x v="0"/>
    <x v="12"/>
    <x v="12"/>
    <x v="7"/>
    <x v="7"/>
    <x v="7"/>
    <x v="4"/>
    <x v="65"/>
    <x v="155"/>
    <x v="136"/>
    <x v="192"/>
    <x v="74"/>
    <x v="86"/>
    <x v="4"/>
  </r>
  <r>
    <x v="0"/>
    <x v="12"/>
    <x v="12"/>
    <x v="6"/>
    <x v="6"/>
    <x v="6"/>
    <x v="5"/>
    <x v="50"/>
    <x v="118"/>
    <x v="57"/>
    <x v="193"/>
    <x v="122"/>
    <x v="165"/>
    <x v="4"/>
  </r>
  <r>
    <x v="0"/>
    <x v="12"/>
    <x v="12"/>
    <x v="4"/>
    <x v="4"/>
    <x v="4"/>
    <x v="6"/>
    <x v="82"/>
    <x v="119"/>
    <x v="137"/>
    <x v="194"/>
    <x v="80"/>
    <x v="156"/>
    <x v="4"/>
  </r>
  <r>
    <x v="0"/>
    <x v="12"/>
    <x v="12"/>
    <x v="5"/>
    <x v="5"/>
    <x v="5"/>
    <x v="7"/>
    <x v="93"/>
    <x v="82"/>
    <x v="132"/>
    <x v="195"/>
    <x v="54"/>
    <x v="46"/>
    <x v="4"/>
  </r>
  <r>
    <x v="0"/>
    <x v="12"/>
    <x v="12"/>
    <x v="11"/>
    <x v="11"/>
    <x v="11"/>
    <x v="8"/>
    <x v="55"/>
    <x v="156"/>
    <x v="88"/>
    <x v="167"/>
    <x v="72"/>
    <x v="151"/>
    <x v="4"/>
  </r>
  <r>
    <x v="0"/>
    <x v="12"/>
    <x v="12"/>
    <x v="8"/>
    <x v="8"/>
    <x v="8"/>
    <x v="9"/>
    <x v="56"/>
    <x v="121"/>
    <x v="118"/>
    <x v="188"/>
    <x v="93"/>
    <x v="166"/>
    <x v="4"/>
  </r>
  <r>
    <x v="0"/>
    <x v="12"/>
    <x v="12"/>
    <x v="13"/>
    <x v="13"/>
    <x v="13"/>
    <x v="10"/>
    <x v="128"/>
    <x v="59"/>
    <x v="48"/>
    <x v="191"/>
    <x v="117"/>
    <x v="167"/>
    <x v="4"/>
  </r>
  <r>
    <x v="0"/>
    <x v="12"/>
    <x v="12"/>
    <x v="2"/>
    <x v="2"/>
    <x v="2"/>
    <x v="11"/>
    <x v="120"/>
    <x v="61"/>
    <x v="54"/>
    <x v="126"/>
    <x v="68"/>
    <x v="159"/>
    <x v="4"/>
  </r>
  <r>
    <x v="0"/>
    <x v="12"/>
    <x v="12"/>
    <x v="36"/>
    <x v="36"/>
    <x v="36"/>
    <x v="11"/>
    <x v="120"/>
    <x v="61"/>
    <x v="105"/>
    <x v="196"/>
    <x v="61"/>
    <x v="148"/>
    <x v="4"/>
  </r>
  <r>
    <x v="0"/>
    <x v="12"/>
    <x v="12"/>
    <x v="45"/>
    <x v="45"/>
    <x v="45"/>
    <x v="13"/>
    <x v="122"/>
    <x v="98"/>
    <x v="95"/>
    <x v="197"/>
    <x v="123"/>
    <x v="32"/>
    <x v="4"/>
  </r>
  <r>
    <x v="0"/>
    <x v="12"/>
    <x v="12"/>
    <x v="9"/>
    <x v="9"/>
    <x v="9"/>
    <x v="13"/>
    <x v="122"/>
    <x v="98"/>
    <x v="61"/>
    <x v="198"/>
    <x v="48"/>
    <x v="65"/>
    <x v="4"/>
  </r>
  <r>
    <x v="0"/>
    <x v="12"/>
    <x v="12"/>
    <x v="10"/>
    <x v="10"/>
    <x v="10"/>
    <x v="15"/>
    <x v="152"/>
    <x v="63"/>
    <x v="138"/>
    <x v="199"/>
    <x v="80"/>
    <x v="156"/>
    <x v="4"/>
  </r>
  <r>
    <x v="0"/>
    <x v="12"/>
    <x v="12"/>
    <x v="14"/>
    <x v="14"/>
    <x v="14"/>
    <x v="16"/>
    <x v="130"/>
    <x v="134"/>
    <x v="49"/>
    <x v="200"/>
    <x v="40"/>
    <x v="143"/>
    <x v="4"/>
  </r>
  <r>
    <x v="0"/>
    <x v="12"/>
    <x v="12"/>
    <x v="47"/>
    <x v="47"/>
    <x v="47"/>
    <x v="17"/>
    <x v="131"/>
    <x v="15"/>
    <x v="116"/>
    <x v="119"/>
    <x v="120"/>
    <x v="35"/>
    <x v="4"/>
  </r>
  <r>
    <x v="0"/>
    <x v="12"/>
    <x v="12"/>
    <x v="48"/>
    <x v="48"/>
    <x v="48"/>
    <x v="17"/>
    <x v="131"/>
    <x v="15"/>
    <x v="88"/>
    <x v="167"/>
    <x v="94"/>
    <x v="107"/>
    <x v="4"/>
  </r>
  <r>
    <x v="0"/>
    <x v="12"/>
    <x v="12"/>
    <x v="49"/>
    <x v="49"/>
    <x v="49"/>
    <x v="19"/>
    <x v="124"/>
    <x v="150"/>
    <x v="116"/>
    <x v="119"/>
    <x v="85"/>
    <x v="168"/>
    <x v="4"/>
  </r>
  <r>
    <x v="0"/>
    <x v="13"/>
    <x v="13"/>
    <x v="1"/>
    <x v="1"/>
    <x v="1"/>
    <x v="0"/>
    <x v="44"/>
    <x v="157"/>
    <x v="139"/>
    <x v="201"/>
    <x v="84"/>
    <x v="10"/>
    <x v="4"/>
  </r>
  <r>
    <x v="0"/>
    <x v="13"/>
    <x v="13"/>
    <x v="6"/>
    <x v="6"/>
    <x v="6"/>
    <x v="1"/>
    <x v="153"/>
    <x v="51"/>
    <x v="135"/>
    <x v="202"/>
    <x v="78"/>
    <x v="169"/>
    <x v="4"/>
  </r>
  <r>
    <x v="0"/>
    <x v="13"/>
    <x v="13"/>
    <x v="3"/>
    <x v="3"/>
    <x v="3"/>
    <x v="2"/>
    <x v="147"/>
    <x v="158"/>
    <x v="140"/>
    <x v="162"/>
    <x v="54"/>
    <x v="25"/>
    <x v="4"/>
  </r>
  <r>
    <x v="0"/>
    <x v="13"/>
    <x v="13"/>
    <x v="7"/>
    <x v="7"/>
    <x v="7"/>
    <x v="3"/>
    <x v="80"/>
    <x v="53"/>
    <x v="75"/>
    <x v="203"/>
    <x v="122"/>
    <x v="170"/>
    <x v="4"/>
  </r>
  <r>
    <x v="0"/>
    <x v="13"/>
    <x v="13"/>
    <x v="5"/>
    <x v="5"/>
    <x v="5"/>
    <x v="4"/>
    <x v="100"/>
    <x v="159"/>
    <x v="114"/>
    <x v="96"/>
    <x v="124"/>
    <x v="171"/>
    <x v="4"/>
  </r>
  <r>
    <x v="0"/>
    <x v="13"/>
    <x v="13"/>
    <x v="0"/>
    <x v="0"/>
    <x v="0"/>
    <x v="5"/>
    <x v="65"/>
    <x v="41"/>
    <x v="48"/>
    <x v="18"/>
    <x v="92"/>
    <x v="172"/>
    <x v="4"/>
  </r>
  <r>
    <x v="0"/>
    <x v="13"/>
    <x v="13"/>
    <x v="13"/>
    <x v="13"/>
    <x v="13"/>
    <x v="6"/>
    <x v="82"/>
    <x v="108"/>
    <x v="81"/>
    <x v="9"/>
    <x v="41"/>
    <x v="173"/>
    <x v="4"/>
  </r>
  <r>
    <x v="0"/>
    <x v="13"/>
    <x v="13"/>
    <x v="45"/>
    <x v="45"/>
    <x v="45"/>
    <x v="7"/>
    <x v="53"/>
    <x v="93"/>
    <x v="76"/>
    <x v="204"/>
    <x v="86"/>
    <x v="174"/>
    <x v="4"/>
  </r>
  <r>
    <x v="0"/>
    <x v="13"/>
    <x v="13"/>
    <x v="16"/>
    <x v="16"/>
    <x v="16"/>
    <x v="8"/>
    <x v="68"/>
    <x v="160"/>
    <x v="63"/>
    <x v="205"/>
    <x v="68"/>
    <x v="18"/>
    <x v="4"/>
  </r>
  <r>
    <x v="0"/>
    <x v="13"/>
    <x v="13"/>
    <x v="2"/>
    <x v="2"/>
    <x v="2"/>
    <x v="8"/>
    <x v="68"/>
    <x v="160"/>
    <x v="131"/>
    <x v="126"/>
    <x v="90"/>
    <x v="159"/>
    <x v="4"/>
  </r>
  <r>
    <x v="0"/>
    <x v="13"/>
    <x v="13"/>
    <x v="10"/>
    <x v="10"/>
    <x v="10"/>
    <x v="10"/>
    <x v="55"/>
    <x v="161"/>
    <x v="78"/>
    <x v="206"/>
    <x v="69"/>
    <x v="175"/>
    <x v="4"/>
  </r>
  <r>
    <x v="0"/>
    <x v="13"/>
    <x v="13"/>
    <x v="4"/>
    <x v="4"/>
    <x v="4"/>
    <x v="11"/>
    <x v="83"/>
    <x v="94"/>
    <x v="127"/>
    <x v="20"/>
    <x v="70"/>
    <x v="152"/>
    <x v="4"/>
  </r>
  <r>
    <x v="0"/>
    <x v="13"/>
    <x v="13"/>
    <x v="9"/>
    <x v="9"/>
    <x v="9"/>
    <x v="12"/>
    <x v="128"/>
    <x v="71"/>
    <x v="81"/>
    <x v="9"/>
    <x v="128"/>
    <x v="176"/>
    <x v="4"/>
  </r>
  <r>
    <x v="0"/>
    <x v="13"/>
    <x v="13"/>
    <x v="50"/>
    <x v="50"/>
    <x v="50"/>
    <x v="13"/>
    <x v="154"/>
    <x v="72"/>
    <x v="116"/>
    <x v="37"/>
    <x v="128"/>
    <x v="176"/>
    <x v="4"/>
  </r>
  <r>
    <x v="0"/>
    <x v="13"/>
    <x v="13"/>
    <x v="11"/>
    <x v="11"/>
    <x v="11"/>
    <x v="14"/>
    <x v="70"/>
    <x v="149"/>
    <x v="88"/>
    <x v="207"/>
    <x v="42"/>
    <x v="177"/>
    <x v="4"/>
  </r>
  <r>
    <x v="0"/>
    <x v="13"/>
    <x v="13"/>
    <x v="48"/>
    <x v="48"/>
    <x v="48"/>
    <x v="15"/>
    <x v="155"/>
    <x v="11"/>
    <x v="48"/>
    <x v="18"/>
    <x v="42"/>
    <x v="177"/>
    <x v="4"/>
  </r>
  <r>
    <x v="0"/>
    <x v="13"/>
    <x v="13"/>
    <x v="44"/>
    <x v="44"/>
    <x v="44"/>
    <x v="16"/>
    <x v="71"/>
    <x v="123"/>
    <x v="74"/>
    <x v="208"/>
    <x v="85"/>
    <x v="32"/>
    <x v="4"/>
  </r>
  <r>
    <x v="0"/>
    <x v="13"/>
    <x v="13"/>
    <x v="46"/>
    <x v="46"/>
    <x v="46"/>
    <x v="17"/>
    <x v="131"/>
    <x v="162"/>
    <x v="68"/>
    <x v="209"/>
    <x v="77"/>
    <x v="22"/>
    <x v="4"/>
  </r>
  <r>
    <x v="0"/>
    <x v="13"/>
    <x v="13"/>
    <x v="33"/>
    <x v="33"/>
    <x v="33"/>
    <x v="18"/>
    <x v="125"/>
    <x v="34"/>
    <x v="32"/>
    <x v="210"/>
    <x v="64"/>
    <x v="135"/>
    <x v="4"/>
  </r>
  <r>
    <x v="0"/>
    <x v="13"/>
    <x v="13"/>
    <x v="21"/>
    <x v="21"/>
    <x v="21"/>
    <x v="18"/>
    <x v="125"/>
    <x v="34"/>
    <x v="66"/>
    <x v="72"/>
    <x v="52"/>
    <x v="133"/>
    <x v="4"/>
  </r>
  <r>
    <x v="0"/>
    <x v="13"/>
    <x v="13"/>
    <x v="40"/>
    <x v="40"/>
    <x v="40"/>
    <x v="18"/>
    <x v="125"/>
    <x v="34"/>
    <x v="76"/>
    <x v="204"/>
    <x v="108"/>
    <x v="178"/>
    <x v="4"/>
  </r>
  <r>
    <x v="0"/>
    <x v="14"/>
    <x v="14"/>
    <x v="0"/>
    <x v="0"/>
    <x v="0"/>
    <x v="0"/>
    <x v="156"/>
    <x v="163"/>
    <x v="134"/>
    <x v="211"/>
    <x v="129"/>
    <x v="179"/>
    <x v="4"/>
  </r>
  <r>
    <x v="0"/>
    <x v="14"/>
    <x v="14"/>
    <x v="1"/>
    <x v="1"/>
    <x v="1"/>
    <x v="1"/>
    <x v="47"/>
    <x v="164"/>
    <x v="141"/>
    <x v="212"/>
    <x v="70"/>
    <x v="18"/>
    <x v="4"/>
  </r>
  <r>
    <x v="0"/>
    <x v="14"/>
    <x v="14"/>
    <x v="3"/>
    <x v="3"/>
    <x v="3"/>
    <x v="2"/>
    <x v="157"/>
    <x v="165"/>
    <x v="99"/>
    <x v="213"/>
    <x v="118"/>
    <x v="180"/>
    <x v="4"/>
  </r>
  <r>
    <x v="0"/>
    <x v="14"/>
    <x v="14"/>
    <x v="11"/>
    <x v="11"/>
    <x v="11"/>
    <x v="3"/>
    <x v="63"/>
    <x v="166"/>
    <x v="118"/>
    <x v="214"/>
    <x v="109"/>
    <x v="181"/>
    <x v="4"/>
  </r>
  <r>
    <x v="0"/>
    <x v="14"/>
    <x v="14"/>
    <x v="2"/>
    <x v="2"/>
    <x v="2"/>
    <x v="3"/>
    <x v="63"/>
    <x v="166"/>
    <x v="80"/>
    <x v="166"/>
    <x v="47"/>
    <x v="41"/>
    <x v="4"/>
  </r>
  <r>
    <x v="0"/>
    <x v="14"/>
    <x v="14"/>
    <x v="8"/>
    <x v="8"/>
    <x v="8"/>
    <x v="5"/>
    <x v="65"/>
    <x v="41"/>
    <x v="119"/>
    <x v="210"/>
    <x v="71"/>
    <x v="182"/>
    <x v="4"/>
  </r>
  <r>
    <x v="0"/>
    <x v="14"/>
    <x v="14"/>
    <x v="5"/>
    <x v="5"/>
    <x v="5"/>
    <x v="5"/>
    <x v="65"/>
    <x v="41"/>
    <x v="57"/>
    <x v="61"/>
    <x v="124"/>
    <x v="100"/>
    <x v="4"/>
  </r>
  <r>
    <x v="0"/>
    <x v="14"/>
    <x v="14"/>
    <x v="6"/>
    <x v="6"/>
    <x v="6"/>
    <x v="7"/>
    <x v="91"/>
    <x v="167"/>
    <x v="50"/>
    <x v="193"/>
    <x v="54"/>
    <x v="31"/>
    <x v="4"/>
  </r>
  <r>
    <x v="0"/>
    <x v="14"/>
    <x v="14"/>
    <x v="13"/>
    <x v="13"/>
    <x v="13"/>
    <x v="8"/>
    <x v="51"/>
    <x v="45"/>
    <x v="53"/>
    <x v="135"/>
    <x v="125"/>
    <x v="183"/>
    <x v="4"/>
  </r>
  <r>
    <x v="0"/>
    <x v="14"/>
    <x v="14"/>
    <x v="19"/>
    <x v="19"/>
    <x v="19"/>
    <x v="9"/>
    <x v="54"/>
    <x v="58"/>
    <x v="108"/>
    <x v="215"/>
    <x v="108"/>
    <x v="184"/>
    <x v="4"/>
  </r>
  <r>
    <x v="0"/>
    <x v="14"/>
    <x v="14"/>
    <x v="9"/>
    <x v="9"/>
    <x v="9"/>
    <x v="10"/>
    <x v="68"/>
    <x v="110"/>
    <x v="58"/>
    <x v="216"/>
    <x v="86"/>
    <x v="185"/>
    <x v="4"/>
  </r>
  <r>
    <x v="0"/>
    <x v="14"/>
    <x v="14"/>
    <x v="36"/>
    <x v="36"/>
    <x v="36"/>
    <x v="11"/>
    <x v="55"/>
    <x v="168"/>
    <x v="32"/>
    <x v="217"/>
    <x v="98"/>
    <x v="186"/>
    <x v="4"/>
  </r>
  <r>
    <x v="0"/>
    <x v="14"/>
    <x v="14"/>
    <x v="7"/>
    <x v="7"/>
    <x v="7"/>
    <x v="12"/>
    <x v="69"/>
    <x v="122"/>
    <x v="62"/>
    <x v="218"/>
    <x v="81"/>
    <x v="93"/>
    <x v="4"/>
  </r>
  <r>
    <x v="0"/>
    <x v="14"/>
    <x v="14"/>
    <x v="47"/>
    <x v="47"/>
    <x v="47"/>
    <x v="13"/>
    <x v="120"/>
    <x v="141"/>
    <x v="48"/>
    <x v="219"/>
    <x v="48"/>
    <x v="177"/>
    <x v="4"/>
  </r>
  <r>
    <x v="0"/>
    <x v="14"/>
    <x v="14"/>
    <x v="12"/>
    <x v="12"/>
    <x v="12"/>
    <x v="14"/>
    <x v="154"/>
    <x v="10"/>
    <x v="48"/>
    <x v="219"/>
    <x v="126"/>
    <x v="142"/>
    <x v="4"/>
  </r>
  <r>
    <x v="0"/>
    <x v="14"/>
    <x v="14"/>
    <x v="14"/>
    <x v="14"/>
    <x v="14"/>
    <x v="15"/>
    <x v="155"/>
    <x v="11"/>
    <x v="61"/>
    <x v="64"/>
    <x v="117"/>
    <x v="160"/>
    <x v="4"/>
  </r>
  <r>
    <x v="0"/>
    <x v="14"/>
    <x v="14"/>
    <x v="16"/>
    <x v="16"/>
    <x v="16"/>
    <x v="16"/>
    <x v="122"/>
    <x v="85"/>
    <x v="68"/>
    <x v="220"/>
    <x v="88"/>
    <x v="178"/>
    <x v="4"/>
  </r>
  <r>
    <x v="0"/>
    <x v="14"/>
    <x v="14"/>
    <x v="21"/>
    <x v="21"/>
    <x v="21"/>
    <x v="17"/>
    <x v="71"/>
    <x v="27"/>
    <x v="66"/>
    <x v="72"/>
    <x v="48"/>
    <x v="177"/>
    <x v="4"/>
  </r>
  <r>
    <x v="0"/>
    <x v="14"/>
    <x v="14"/>
    <x v="4"/>
    <x v="4"/>
    <x v="4"/>
    <x v="18"/>
    <x v="123"/>
    <x v="28"/>
    <x v="54"/>
    <x v="34"/>
    <x v="118"/>
    <x v="180"/>
    <x v="4"/>
  </r>
  <r>
    <x v="0"/>
    <x v="14"/>
    <x v="14"/>
    <x v="51"/>
    <x v="51"/>
    <x v="51"/>
    <x v="19"/>
    <x v="130"/>
    <x v="134"/>
    <x v="88"/>
    <x v="221"/>
    <x v="98"/>
    <x v="186"/>
    <x v="4"/>
  </r>
  <r>
    <x v="0"/>
    <x v="14"/>
    <x v="14"/>
    <x v="32"/>
    <x v="32"/>
    <x v="32"/>
    <x v="19"/>
    <x v="130"/>
    <x v="134"/>
    <x v="95"/>
    <x v="222"/>
    <x v="94"/>
    <x v="187"/>
    <x v="4"/>
  </r>
  <r>
    <x v="0"/>
    <x v="14"/>
    <x v="14"/>
    <x v="23"/>
    <x v="23"/>
    <x v="23"/>
    <x v="19"/>
    <x v="130"/>
    <x v="134"/>
    <x v="58"/>
    <x v="216"/>
    <x v="85"/>
    <x v="17"/>
    <x v="4"/>
  </r>
  <r>
    <x v="0"/>
    <x v="14"/>
    <x v="14"/>
    <x v="15"/>
    <x v="15"/>
    <x v="15"/>
    <x v="19"/>
    <x v="130"/>
    <x v="134"/>
    <x v="76"/>
    <x v="140"/>
    <x v="65"/>
    <x v="124"/>
    <x v="4"/>
  </r>
  <r>
    <x v="0"/>
    <x v="15"/>
    <x v="15"/>
    <x v="1"/>
    <x v="1"/>
    <x v="1"/>
    <x v="0"/>
    <x v="158"/>
    <x v="169"/>
    <x v="142"/>
    <x v="223"/>
    <x v="85"/>
    <x v="107"/>
    <x v="4"/>
  </r>
  <r>
    <x v="0"/>
    <x v="15"/>
    <x v="15"/>
    <x v="2"/>
    <x v="2"/>
    <x v="2"/>
    <x v="1"/>
    <x v="159"/>
    <x v="144"/>
    <x v="85"/>
    <x v="224"/>
    <x v="59"/>
    <x v="178"/>
    <x v="4"/>
  </r>
  <r>
    <x v="0"/>
    <x v="15"/>
    <x v="15"/>
    <x v="0"/>
    <x v="0"/>
    <x v="0"/>
    <x v="2"/>
    <x v="146"/>
    <x v="170"/>
    <x v="143"/>
    <x v="225"/>
    <x v="49"/>
    <x v="188"/>
    <x v="4"/>
  </r>
  <r>
    <x v="0"/>
    <x v="15"/>
    <x v="15"/>
    <x v="5"/>
    <x v="5"/>
    <x v="5"/>
    <x v="3"/>
    <x v="45"/>
    <x v="171"/>
    <x v="94"/>
    <x v="226"/>
    <x v="99"/>
    <x v="146"/>
    <x v="4"/>
  </r>
  <r>
    <x v="0"/>
    <x v="15"/>
    <x v="15"/>
    <x v="6"/>
    <x v="6"/>
    <x v="6"/>
    <x v="4"/>
    <x v="160"/>
    <x v="90"/>
    <x v="144"/>
    <x v="227"/>
    <x v="99"/>
    <x v="146"/>
    <x v="4"/>
  </r>
  <r>
    <x v="0"/>
    <x v="15"/>
    <x v="15"/>
    <x v="13"/>
    <x v="13"/>
    <x v="13"/>
    <x v="5"/>
    <x v="61"/>
    <x v="172"/>
    <x v="95"/>
    <x v="158"/>
    <x v="100"/>
    <x v="189"/>
    <x v="4"/>
  </r>
  <r>
    <x v="0"/>
    <x v="15"/>
    <x v="15"/>
    <x v="3"/>
    <x v="3"/>
    <x v="3"/>
    <x v="6"/>
    <x v="62"/>
    <x v="173"/>
    <x v="99"/>
    <x v="228"/>
    <x v="51"/>
    <x v="25"/>
    <x v="4"/>
  </r>
  <r>
    <x v="0"/>
    <x v="15"/>
    <x v="15"/>
    <x v="19"/>
    <x v="19"/>
    <x v="19"/>
    <x v="7"/>
    <x v="101"/>
    <x v="174"/>
    <x v="64"/>
    <x v="229"/>
    <x v="108"/>
    <x v="190"/>
    <x v="4"/>
  </r>
  <r>
    <x v="0"/>
    <x v="15"/>
    <x v="15"/>
    <x v="11"/>
    <x v="11"/>
    <x v="11"/>
    <x v="8"/>
    <x v="51"/>
    <x v="175"/>
    <x v="81"/>
    <x v="14"/>
    <x v="130"/>
    <x v="128"/>
    <x v="4"/>
  </r>
  <r>
    <x v="0"/>
    <x v="15"/>
    <x v="15"/>
    <x v="8"/>
    <x v="8"/>
    <x v="8"/>
    <x v="9"/>
    <x v="161"/>
    <x v="8"/>
    <x v="32"/>
    <x v="230"/>
    <x v="42"/>
    <x v="115"/>
    <x v="4"/>
  </r>
  <r>
    <x v="0"/>
    <x v="15"/>
    <x v="15"/>
    <x v="4"/>
    <x v="4"/>
    <x v="4"/>
    <x v="10"/>
    <x v="82"/>
    <x v="122"/>
    <x v="55"/>
    <x v="20"/>
    <x v="97"/>
    <x v="18"/>
    <x v="4"/>
  </r>
  <r>
    <x v="0"/>
    <x v="15"/>
    <x v="15"/>
    <x v="40"/>
    <x v="40"/>
    <x v="40"/>
    <x v="11"/>
    <x v="53"/>
    <x v="141"/>
    <x v="89"/>
    <x v="231"/>
    <x v="126"/>
    <x v="191"/>
    <x v="4"/>
  </r>
  <r>
    <x v="0"/>
    <x v="15"/>
    <x v="15"/>
    <x v="48"/>
    <x v="48"/>
    <x v="48"/>
    <x v="12"/>
    <x v="55"/>
    <x v="98"/>
    <x v="76"/>
    <x v="145"/>
    <x v="117"/>
    <x v="121"/>
    <x v="4"/>
  </r>
  <r>
    <x v="0"/>
    <x v="15"/>
    <x v="15"/>
    <x v="14"/>
    <x v="14"/>
    <x v="14"/>
    <x v="13"/>
    <x v="83"/>
    <x v="48"/>
    <x v="81"/>
    <x v="14"/>
    <x v="72"/>
    <x v="192"/>
    <x v="4"/>
  </r>
  <r>
    <x v="0"/>
    <x v="15"/>
    <x v="15"/>
    <x v="51"/>
    <x v="51"/>
    <x v="51"/>
    <x v="14"/>
    <x v="128"/>
    <x v="28"/>
    <x v="53"/>
    <x v="232"/>
    <x v="73"/>
    <x v="142"/>
    <x v="4"/>
  </r>
  <r>
    <x v="0"/>
    <x v="15"/>
    <x v="15"/>
    <x v="45"/>
    <x v="45"/>
    <x v="45"/>
    <x v="15"/>
    <x v="69"/>
    <x v="87"/>
    <x v="77"/>
    <x v="233"/>
    <x v="131"/>
    <x v="193"/>
    <x v="4"/>
  </r>
  <r>
    <x v="0"/>
    <x v="15"/>
    <x v="15"/>
    <x v="52"/>
    <x v="52"/>
    <x v="52"/>
    <x v="16"/>
    <x v="154"/>
    <x v="63"/>
    <x v="88"/>
    <x v="83"/>
    <x v="132"/>
    <x v="32"/>
    <x v="4"/>
  </r>
  <r>
    <x v="0"/>
    <x v="15"/>
    <x v="15"/>
    <x v="44"/>
    <x v="44"/>
    <x v="44"/>
    <x v="16"/>
    <x v="154"/>
    <x v="63"/>
    <x v="101"/>
    <x v="117"/>
    <x v="52"/>
    <x v="28"/>
    <x v="4"/>
  </r>
  <r>
    <x v="0"/>
    <x v="15"/>
    <x v="15"/>
    <x v="18"/>
    <x v="18"/>
    <x v="18"/>
    <x v="16"/>
    <x v="154"/>
    <x v="63"/>
    <x v="56"/>
    <x v="234"/>
    <x v="40"/>
    <x v="140"/>
    <x v="4"/>
  </r>
  <r>
    <x v="0"/>
    <x v="15"/>
    <x v="15"/>
    <x v="9"/>
    <x v="9"/>
    <x v="9"/>
    <x v="16"/>
    <x v="154"/>
    <x v="63"/>
    <x v="58"/>
    <x v="114"/>
    <x v="133"/>
    <x v="154"/>
    <x v="4"/>
  </r>
  <r>
    <x v="0"/>
    <x v="16"/>
    <x v="16"/>
    <x v="0"/>
    <x v="0"/>
    <x v="0"/>
    <x v="0"/>
    <x v="162"/>
    <x v="176"/>
    <x v="117"/>
    <x v="235"/>
    <x v="134"/>
    <x v="194"/>
    <x v="4"/>
  </r>
  <r>
    <x v="0"/>
    <x v="16"/>
    <x v="16"/>
    <x v="1"/>
    <x v="1"/>
    <x v="1"/>
    <x v="1"/>
    <x v="163"/>
    <x v="177"/>
    <x v="145"/>
    <x v="236"/>
    <x v="98"/>
    <x v="37"/>
    <x v="4"/>
  </r>
  <r>
    <x v="0"/>
    <x v="16"/>
    <x v="16"/>
    <x v="2"/>
    <x v="2"/>
    <x v="2"/>
    <x v="2"/>
    <x v="75"/>
    <x v="178"/>
    <x v="146"/>
    <x v="237"/>
    <x v="88"/>
    <x v="195"/>
    <x v="1"/>
  </r>
  <r>
    <x v="0"/>
    <x v="16"/>
    <x v="16"/>
    <x v="4"/>
    <x v="4"/>
    <x v="4"/>
    <x v="3"/>
    <x v="160"/>
    <x v="78"/>
    <x v="125"/>
    <x v="238"/>
    <x v="61"/>
    <x v="196"/>
    <x v="4"/>
  </r>
  <r>
    <x v="0"/>
    <x v="16"/>
    <x v="16"/>
    <x v="5"/>
    <x v="5"/>
    <x v="5"/>
    <x v="3"/>
    <x v="160"/>
    <x v="78"/>
    <x v="141"/>
    <x v="239"/>
    <x v="47"/>
    <x v="92"/>
    <x v="4"/>
  </r>
  <r>
    <x v="0"/>
    <x v="16"/>
    <x v="16"/>
    <x v="9"/>
    <x v="9"/>
    <x v="9"/>
    <x v="5"/>
    <x v="61"/>
    <x v="159"/>
    <x v="81"/>
    <x v="240"/>
    <x v="28"/>
    <x v="197"/>
    <x v="4"/>
  </r>
  <r>
    <x v="0"/>
    <x v="16"/>
    <x v="16"/>
    <x v="6"/>
    <x v="6"/>
    <x v="6"/>
    <x v="6"/>
    <x v="63"/>
    <x v="179"/>
    <x v="147"/>
    <x v="241"/>
    <x v="118"/>
    <x v="198"/>
    <x v="4"/>
  </r>
  <r>
    <x v="0"/>
    <x v="16"/>
    <x v="16"/>
    <x v="3"/>
    <x v="3"/>
    <x v="3"/>
    <x v="7"/>
    <x v="50"/>
    <x v="173"/>
    <x v="148"/>
    <x v="242"/>
    <x v="63"/>
    <x v="98"/>
    <x v="4"/>
  </r>
  <r>
    <x v="0"/>
    <x v="16"/>
    <x v="16"/>
    <x v="7"/>
    <x v="7"/>
    <x v="7"/>
    <x v="8"/>
    <x v="91"/>
    <x v="180"/>
    <x v="124"/>
    <x v="164"/>
    <x v="63"/>
    <x v="98"/>
    <x v="4"/>
  </r>
  <r>
    <x v="0"/>
    <x v="16"/>
    <x v="16"/>
    <x v="18"/>
    <x v="18"/>
    <x v="18"/>
    <x v="9"/>
    <x v="51"/>
    <x v="108"/>
    <x v="48"/>
    <x v="243"/>
    <x v="83"/>
    <x v="199"/>
    <x v="4"/>
  </r>
  <r>
    <x v="0"/>
    <x v="16"/>
    <x v="16"/>
    <x v="21"/>
    <x v="21"/>
    <x v="21"/>
    <x v="9"/>
    <x v="51"/>
    <x v="108"/>
    <x v="66"/>
    <x v="72"/>
    <x v="109"/>
    <x v="200"/>
    <x v="5"/>
  </r>
  <r>
    <x v="0"/>
    <x v="16"/>
    <x v="16"/>
    <x v="24"/>
    <x v="24"/>
    <x v="24"/>
    <x v="11"/>
    <x v="53"/>
    <x v="181"/>
    <x v="116"/>
    <x v="244"/>
    <x v="127"/>
    <x v="201"/>
    <x v="4"/>
  </r>
  <r>
    <x v="0"/>
    <x v="16"/>
    <x v="16"/>
    <x v="17"/>
    <x v="17"/>
    <x v="17"/>
    <x v="12"/>
    <x v="150"/>
    <x v="156"/>
    <x v="77"/>
    <x v="245"/>
    <x v="128"/>
    <x v="167"/>
    <x v="4"/>
  </r>
  <r>
    <x v="0"/>
    <x v="16"/>
    <x v="16"/>
    <x v="19"/>
    <x v="19"/>
    <x v="19"/>
    <x v="13"/>
    <x v="54"/>
    <x v="175"/>
    <x v="32"/>
    <x v="246"/>
    <x v="85"/>
    <x v="202"/>
    <x v="4"/>
  </r>
  <r>
    <x v="0"/>
    <x v="16"/>
    <x v="16"/>
    <x v="22"/>
    <x v="22"/>
    <x v="22"/>
    <x v="14"/>
    <x v="128"/>
    <x v="72"/>
    <x v="64"/>
    <x v="247"/>
    <x v="121"/>
    <x v="203"/>
    <x v="4"/>
  </r>
  <r>
    <x v="0"/>
    <x v="16"/>
    <x v="16"/>
    <x v="16"/>
    <x v="16"/>
    <x v="16"/>
    <x v="15"/>
    <x v="120"/>
    <x v="11"/>
    <x v="143"/>
    <x v="248"/>
    <x v="120"/>
    <x v="8"/>
    <x v="4"/>
  </r>
  <r>
    <x v="0"/>
    <x v="16"/>
    <x v="16"/>
    <x v="10"/>
    <x v="10"/>
    <x v="10"/>
    <x v="16"/>
    <x v="70"/>
    <x v="85"/>
    <x v="134"/>
    <x v="249"/>
    <x v="84"/>
    <x v="204"/>
    <x v="4"/>
  </r>
  <r>
    <x v="0"/>
    <x v="16"/>
    <x v="16"/>
    <x v="12"/>
    <x v="12"/>
    <x v="12"/>
    <x v="17"/>
    <x v="122"/>
    <x v="99"/>
    <x v="49"/>
    <x v="250"/>
    <x v="133"/>
    <x v="65"/>
    <x v="4"/>
  </r>
  <r>
    <x v="0"/>
    <x v="16"/>
    <x v="16"/>
    <x v="32"/>
    <x v="32"/>
    <x v="32"/>
    <x v="18"/>
    <x v="123"/>
    <x v="63"/>
    <x v="88"/>
    <x v="102"/>
    <x v="52"/>
    <x v="205"/>
    <x v="4"/>
  </r>
  <r>
    <x v="0"/>
    <x v="16"/>
    <x v="16"/>
    <x v="25"/>
    <x v="25"/>
    <x v="25"/>
    <x v="19"/>
    <x v="152"/>
    <x v="182"/>
    <x v="49"/>
    <x v="250"/>
    <x v="93"/>
    <x v="133"/>
    <x v="4"/>
  </r>
  <r>
    <x v="0"/>
    <x v="17"/>
    <x v="17"/>
    <x v="0"/>
    <x v="0"/>
    <x v="0"/>
    <x v="0"/>
    <x v="143"/>
    <x v="183"/>
    <x v="100"/>
    <x v="142"/>
    <x v="87"/>
    <x v="206"/>
    <x v="4"/>
  </r>
  <r>
    <x v="0"/>
    <x v="17"/>
    <x v="17"/>
    <x v="1"/>
    <x v="1"/>
    <x v="1"/>
    <x v="1"/>
    <x v="164"/>
    <x v="184"/>
    <x v="149"/>
    <x v="251"/>
    <x v="88"/>
    <x v="53"/>
    <x v="4"/>
  </r>
  <r>
    <x v="0"/>
    <x v="17"/>
    <x v="17"/>
    <x v="5"/>
    <x v="5"/>
    <x v="5"/>
    <x v="2"/>
    <x v="60"/>
    <x v="19"/>
    <x v="125"/>
    <x v="252"/>
    <x v="68"/>
    <x v="207"/>
    <x v="4"/>
  </r>
  <r>
    <x v="0"/>
    <x v="17"/>
    <x v="17"/>
    <x v="2"/>
    <x v="2"/>
    <x v="2"/>
    <x v="3"/>
    <x v="157"/>
    <x v="68"/>
    <x v="121"/>
    <x v="253"/>
    <x v="80"/>
    <x v="208"/>
    <x v="4"/>
  </r>
  <r>
    <x v="0"/>
    <x v="17"/>
    <x v="17"/>
    <x v="8"/>
    <x v="8"/>
    <x v="8"/>
    <x v="4"/>
    <x v="101"/>
    <x v="185"/>
    <x v="78"/>
    <x v="254"/>
    <x v="128"/>
    <x v="209"/>
    <x v="4"/>
  </r>
  <r>
    <x v="0"/>
    <x v="17"/>
    <x v="17"/>
    <x v="3"/>
    <x v="3"/>
    <x v="3"/>
    <x v="5"/>
    <x v="165"/>
    <x v="118"/>
    <x v="50"/>
    <x v="255"/>
    <x v="78"/>
    <x v="210"/>
    <x v="4"/>
  </r>
  <r>
    <x v="0"/>
    <x v="17"/>
    <x v="17"/>
    <x v="4"/>
    <x v="4"/>
    <x v="4"/>
    <x v="6"/>
    <x v="66"/>
    <x v="186"/>
    <x v="131"/>
    <x v="256"/>
    <x v="119"/>
    <x v="211"/>
    <x v="4"/>
  </r>
  <r>
    <x v="0"/>
    <x v="17"/>
    <x v="17"/>
    <x v="6"/>
    <x v="6"/>
    <x v="6"/>
    <x v="7"/>
    <x v="82"/>
    <x v="70"/>
    <x v="150"/>
    <x v="257"/>
    <x v="54"/>
    <x v="31"/>
    <x v="4"/>
  </r>
  <r>
    <x v="0"/>
    <x v="17"/>
    <x v="17"/>
    <x v="11"/>
    <x v="11"/>
    <x v="11"/>
    <x v="8"/>
    <x v="93"/>
    <x v="187"/>
    <x v="58"/>
    <x v="186"/>
    <x v="101"/>
    <x v="212"/>
    <x v="4"/>
  </r>
  <r>
    <x v="0"/>
    <x v="17"/>
    <x v="17"/>
    <x v="9"/>
    <x v="9"/>
    <x v="9"/>
    <x v="9"/>
    <x v="68"/>
    <x v="160"/>
    <x v="53"/>
    <x v="114"/>
    <x v="71"/>
    <x v="9"/>
    <x v="4"/>
  </r>
  <r>
    <x v="0"/>
    <x v="17"/>
    <x v="17"/>
    <x v="21"/>
    <x v="21"/>
    <x v="21"/>
    <x v="9"/>
    <x v="68"/>
    <x v="160"/>
    <x v="66"/>
    <x v="72"/>
    <x v="41"/>
    <x v="213"/>
    <x v="4"/>
  </r>
  <r>
    <x v="0"/>
    <x v="17"/>
    <x v="17"/>
    <x v="51"/>
    <x v="51"/>
    <x v="51"/>
    <x v="11"/>
    <x v="55"/>
    <x v="175"/>
    <x v="58"/>
    <x v="186"/>
    <x v="57"/>
    <x v="214"/>
    <x v="4"/>
  </r>
  <r>
    <x v="0"/>
    <x v="17"/>
    <x v="17"/>
    <x v="7"/>
    <x v="7"/>
    <x v="7"/>
    <x v="11"/>
    <x v="55"/>
    <x v="175"/>
    <x v="64"/>
    <x v="258"/>
    <x v="54"/>
    <x v="31"/>
    <x v="4"/>
  </r>
  <r>
    <x v="0"/>
    <x v="17"/>
    <x v="17"/>
    <x v="13"/>
    <x v="13"/>
    <x v="13"/>
    <x v="13"/>
    <x v="83"/>
    <x v="188"/>
    <x v="81"/>
    <x v="110"/>
    <x v="72"/>
    <x v="215"/>
    <x v="4"/>
  </r>
  <r>
    <x v="0"/>
    <x v="17"/>
    <x v="17"/>
    <x v="17"/>
    <x v="17"/>
    <x v="17"/>
    <x v="14"/>
    <x v="154"/>
    <x v="111"/>
    <x v="128"/>
    <x v="259"/>
    <x v="94"/>
    <x v="216"/>
    <x v="4"/>
  </r>
  <r>
    <x v="0"/>
    <x v="17"/>
    <x v="17"/>
    <x v="18"/>
    <x v="18"/>
    <x v="18"/>
    <x v="15"/>
    <x v="70"/>
    <x v="97"/>
    <x v="81"/>
    <x v="110"/>
    <x v="126"/>
    <x v="29"/>
    <x v="4"/>
  </r>
  <r>
    <x v="0"/>
    <x v="17"/>
    <x v="17"/>
    <x v="32"/>
    <x v="32"/>
    <x v="32"/>
    <x v="16"/>
    <x v="121"/>
    <x v="47"/>
    <x v="58"/>
    <x v="186"/>
    <x v="132"/>
    <x v="50"/>
    <x v="4"/>
  </r>
  <r>
    <x v="0"/>
    <x v="17"/>
    <x v="17"/>
    <x v="19"/>
    <x v="19"/>
    <x v="19"/>
    <x v="17"/>
    <x v="71"/>
    <x v="123"/>
    <x v="138"/>
    <x v="260"/>
    <x v="56"/>
    <x v="61"/>
    <x v="4"/>
  </r>
  <r>
    <x v="0"/>
    <x v="17"/>
    <x v="17"/>
    <x v="16"/>
    <x v="16"/>
    <x v="16"/>
    <x v="18"/>
    <x v="123"/>
    <x v="29"/>
    <x v="43"/>
    <x v="261"/>
    <x v="44"/>
    <x v="10"/>
    <x v="4"/>
  </r>
  <r>
    <x v="0"/>
    <x v="17"/>
    <x v="17"/>
    <x v="22"/>
    <x v="22"/>
    <x v="22"/>
    <x v="19"/>
    <x v="166"/>
    <x v="75"/>
    <x v="65"/>
    <x v="262"/>
    <x v="54"/>
    <x v="31"/>
    <x v="4"/>
  </r>
  <r>
    <x v="0"/>
    <x v="18"/>
    <x v="18"/>
    <x v="1"/>
    <x v="1"/>
    <x v="1"/>
    <x v="0"/>
    <x v="167"/>
    <x v="189"/>
    <x v="151"/>
    <x v="263"/>
    <x v="48"/>
    <x v="204"/>
    <x v="4"/>
  </r>
  <r>
    <x v="0"/>
    <x v="18"/>
    <x v="18"/>
    <x v="0"/>
    <x v="0"/>
    <x v="0"/>
    <x v="1"/>
    <x v="168"/>
    <x v="190"/>
    <x v="27"/>
    <x v="264"/>
    <x v="135"/>
    <x v="69"/>
    <x v="4"/>
  </r>
  <r>
    <x v="0"/>
    <x v="18"/>
    <x v="18"/>
    <x v="6"/>
    <x v="6"/>
    <x v="6"/>
    <x v="2"/>
    <x v="169"/>
    <x v="152"/>
    <x v="152"/>
    <x v="60"/>
    <x v="122"/>
    <x v="46"/>
    <x v="4"/>
  </r>
  <r>
    <x v="0"/>
    <x v="18"/>
    <x v="18"/>
    <x v="4"/>
    <x v="4"/>
    <x v="4"/>
    <x v="3"/>
    <x v="170"/>
    <x v="68"/>
    <x v="153"/>
    <x v="265"/>
    <x v="86"/>
    <x v="217"/>
    <x v="4"/>
  </r>
  <r>
    <x v="0"/>
    <x v="18"/>
    <x v="18"/>
    <x v="7"/>
    <x v="7"/>
    <x v="7"/>
    <x v="4"/>
    <x v="72"/>
    <x v="54"/>
    <x v="154"/>
    <x v="266"/>
    <x v="69"/>
    <x v="218"/>
    <x v="4"/>
  </r>
  <r>
    <x v="0"/>
    <x v="18"/>
    <x v="18"/>
    <x v="5"/>
    <x v="5"/>
    <x v="5"/>
    <x v="5"/>
    <x v="171"/>
    <x v="4"/>
    <x v="155"/>
    <x v="194"/>
    <x v="88"/>
    <x v="207"/>
    <x v="4"/>
  </r>
  <r>
    <x v="0"/>
    <x v="18"/>
    <x v="18"/>
    <x v="2"/>
    <x v="2"/>
    <x v="2"/>
    <x v="6"/>
    <x v="57"/>
    <x v="107"/>
    <x v="156"/>
    <x v="267"/>
    <x v="48"/>
    <x v="204"/>
    <x v="4"/>
  </r>
  <r>
    <x v="0"/>
    <x v="18"/>
    <x v="18"/>
    <x v="3"/>
    <x v="3"/>
    <x v="3"/>
    <x v="7"/>
    <x v="172"/>
    <x v="80"/>
    <x v="157"/>
    <x v="268"/>
    <x v="80"/>
    <x v="219"/>
    <x v="4"/>
  </r>
  <r>
    <x v="0"/>
    <x v="18"/>
    <x v="18"/>
    <x v="8"/>
    <x v="8"/>
    <x v="8"/>
    <x v="8"/>
    <x v="173"/>
    <x v="174"/>
    <x v="75"/>
    <x v="269"/>
    <x v="50"/>
    <x v="59"/>
    <x v="4"/>
  </r>
  <r>
    <x v="0"/>
    <x v="18"/>
    <x v="18"/>
    <x v="12"/>
    <x v="12"/>
    <x v="12"/>
    <x v="9"/>
    <x v="159"/>
    <x v="59"/>
    <x v="105"/>
    <x v="191"/>
    <x v="136"/>
    <x v="220"/>
    <x v="4"/>
  </r>
  <r>
    <x v="0"/>
    <x v="18"/>
    <x v="18"/>
    <x v="10"/>
    <x v="10"/>
    <x v="10"/>
    <x v="10"/>
    <x v="114"/>
    <x v="60"/>
    <x v="158"/>
    <x v="270"/>
    <x v="83"/>
    <x v="221"/>
    <x v="4"/>
  </r>
  <r>
    <x v="0"/>
    <x v="18"/>
    <x v="18"/>
    <x v="53"/>
    <x v="53"/>
    <x v="53"/>
    <x v="11"/>
    <x v="174"/>
    <x v="84"/>
    <x v="159"/>
    <x v="131"/>
    <x v="137"/>
    <x v="222"/>
    <x v="4"/>
  </r>
  <r>
    <x v="0"/>
    <x v="18"/>
    <x v="18"/>
    <x v="33"/>
    <x v="33"/>
    <x v="33"/>
    <x v="12"/>
    <x v="118"/>
    <x v="73"/>
    <x v="50"/>
    <x v="51"/>
    <x v="71"/>
    <x v="175"/>
    <x v="4"/>
  </r>
  <r>
    <x v="0"/>
    <x v="18"/>
    <x v="18"/>
    <x v="17"/>
    <x v="17"/>
    <x v="17"/>
    <x v="12"/>
    <x v="118"/>
    <x v="73"/>
    <x v="122"/>
    <x v="271"/>
    <x v="137"/>
    <x v="222"/>
    <x v="4"/>
  </r>
  <r>
    <x v="0"/>
    <x v="18"/>
    <x v="18"/>
    <x v="15"/>
    <x v="15"/>
    <x v="15"/>
    <x v="14"/>
    <x v="175"/>
    <x v="133"/>
    <x v="47"/>
    <x v="173"/>
    <x v="125"/>
    <x v="223"/>
    <x v="4"/>
  </r>
  <r>
    <x v="0"/>
    <x v="18"/>
    <x v="18"/>
    <x v="20"/>
    <x v="20"/>
    <x v="20"/>
    <x v="15"/>
    <x v="176"/>
    <x v="48"/>
    <x v="72"/>
    <x v="272"/>
    <x v="68"/>
    <x v="180"/>
    <x v="4"/>
  </r>
  <r>
    <x v="0"/>
    <x v="18"/>
    <x v="18"/>
    <x v="11"/>
    <x v="11"/>
    <x v="11"/>
    <x v="16"/>
    <x v="88"/>
    <x v="87"/>
    <x v="105"/>
    <x v="191"/>
    <x v="138"/>
    <x v="224"/>
    <x v="4"/>
  </r>
  <r>
    <x v="0"/>
    <x v="18"/>
    <x v="18"/>
    <x v="16"/>
    <x v="16"/>
    <x v="16"/>
    <x v="17"/>
    <x v="177"/>
    <x v="74"/>
    <x v="86"/>
    <x v="273"/>
    <x v="65"/>
    <x v="18"/>
    <x v="4"/>
  </r>
  <r>
    <x v="0"/>
    <x v="18"/>
    <x v="18"/>
    <x v="9"/>
    <x v="9"/>
    <x v="9"/>
    <x v="18"/>
    <x v="178"/>
    <x v="49"/>
    <x v="100"/>
    <x v="59"/>
    <x v="139"/>
    <x v="167"/>
    <x v="4"/>
  </r>
  <r>
    <x v="0"/>
    <x v="18"/>
    <x v="18"/>
    <x v="18"/>
    <x v="18"/>
    <x v="18"/>
    <x v="19"/>
    <x v="156"/>
    <x v="12"/>
    <x v="127"/>
    <x v="274"/>
    <x v="140"/>
    <x v="168"/>
    <x v="4"/>
  </r>
  <r>
    <x v="0"/>
    <x v="19"/>
    <x v="19"/>
    <x v="1"/>
    <x v="1"/>
    <x v="1"/>
    <x v="0"/>
    <x v="179"/>
    <x v="191"/>
    <x v="160"/>
    <x v="275"/>
    <x v="89"/>
    <x v="41"/>
    <x v="4"/>
  </r>
  <r>
    <x v="0"/>
    <x v="19"/>
    <x v="19"/>
    <x v="0"/>
    <x v="0"/>
    <x v="0"/>
    <x v="1"/>
    <x v="180"/>
    <x v="151"/>
    <x v="91"/>
    <x v="276"/>
    <x v="141"/>
    <x v="225"/>
    <x v="4"/>
  </r>
  <r>
    <x v="0"/>
    <x v="19"/>
    <x v="19"/>
    <x v="2"/>
    <x v="2"/>
    <x v="2"/>
    <x v="2"/>
    <x v="181"/>
    <x v="67"/>
    <x v="161"/>
    <x v="277"/>
    <x v="132"/>
    <x v="96"/>
    <x v="1"/>
  </r>
  <r>
    <x v="0"/>
    <x v="19"/>
    <x v="19"/>
    <x v="6"/>
    <x v="6"/>
    <x v="6"/>
    <x v="3"/>
    <x v="182"/>
    <x v="20"/>
    <x v="162"/>
    <x v="44"/>
    <x v="68"/>
    <x v="226"/>
    <x v="4"/>
  </r>
  <r>
    <x v="0"/>
    <x v="19"/>
    <x v="19"/>
    <x v="4"/>
    <x v="4"/>
    <x v="4"/>
    <x v="4"/>
    <x v="41"/>
    <x v="53"/>
    <x v="163"/>
    <x v="278"/>
    <x v="57"/>
    <x v="47"/>
    <x v="4"/>
  </r>
  <r>
    <x v="0"/>
    <x v="19"/>
    <x v="19"/>
    <x v="5"/>
    <x v="5"/>
    <x v="5"/>
    <x v="5"/>
    <x v="183"/>
    <x v="107"/>
    <x v="164"/>
    <x v="80"/>
    <x v="84"/>
    <x v="135"/>
    <x v="4"/>
  </r>
  <r>
    <x v="0"/>
    <x v="19"/>
    <x v="19"/>
    <x v="8"/>
    <x v="8"/>
    <x v="8"/>
    <x v="6"/>
    <x v="163"/>
    <x v="167"/>
    <x v="146"/>
    <x v="279"/>
    <x v="137"/>
    <x v="14"/>
    <x v="4"/>
  </r>
  <r>
    <x v="0"/>
    <x v="19"/>
    <x v="19"/>
    <x v="3"/>
    <x v="3"/>
    <x v="3"/>
    <x v="7"/>
    <x v="184"/>
    <x v="81"/>
    <x v="71"/>
    <x v="50"/>
    <x v="68"/>
    <x v="226"/>
    <x v="5"/>
  </r>
  <r>
    <x v="0"/>
    <x v="19"/>
    <x v="19"/>
    <x v="7"/>
    <x v="7"/>
    <x v="7"/>
    <x v="8"/>
    <x v="164"/>
    <x v="192"/>
    <x v="41"/>
    <x v="256"/>
    <x v="68"/>
    <x v="226"/>
    <x v="4"/>
  </r>
  <r>
    <x v="0"/>
    <x v="19"/>
    <x v="19"/>
    <x v="9"/>
    <x v="9"/>
    <x v="9"/>
    <x v="9"/>
    <x v="97"/>
    <x v="193"/>
    <x v="100"/>
    <x v="33"/>
    <x v="142"/>
    <x v="99"/>
    <x v="4"/>
  </r>
  <r>
    <x v="0"/>
    <x v="19"/>
    <x v="19"/>
    <x v="10"/>
    <x v="10"/>
    <x v="10"/>
    <x v="10"/>
    <x v="159"/>
    <x v="58"/>
    <x v="75"/>
    <x v="280"/>
    <x v="130"/>
    <x v="8"/>
    <x v="4"/>
  </r>
  <r>
    <x v="0"/>
    <x v="19"/>
    <x v="19"/>
    <x v="11"/>
    <x v="11"/>
    <x v="11"/>
    <x v="11"/>
    <x v="185"/>
    <x v="194"/>
    <x v="165"/>
    <x v="281"/>
    <x v="43"/>
    <x v="227"/>
    <x v="4"/>
  </r>
  <r>
    <x v="0"/>
    <x v="19"/>
    <x v="19"/>
    <x v="53"/>
    <x v="53"/>
    <x v="53"/>
    <x v="12"/>
    <x v="135"/>
    <x v="83"/>
    <x v="126"/>
    <x v="282"/>
    <x v="143"/>
    <x v="209"/>
    <x v="4"/>
  </r>
  <r>
    <x v="0"/>
    <x v="19"/>
    <x v="19"/>
    <x v="12"/>
    <x v="12"/>
    <x v="12"/>
    <x v="13"/>
    <x v="58"/>
    <x v="96"/>
    <x v="56"/>
    <x v="114"/>
    <x v="144"/>
    <x v="228"/>
    <x v="4"/>
  </r>
  <r>
    <x v="0"/>
    <x v="19"/>
    <x v="19"/>
    <x v="14"/>
    <x v="14"/>
    <x v="14"/>
    <x v="14"/>
    <x v="186"/>
    <x v="97"/>
    <x v="32"/>
    <x v="185"/>
    <x v="79"/>
    <x v="215"/>
    <x v="4"/>
  </r>
  <r>
    <x v="0"/>
    <x v="19"/>
    <x v="19"/>
    <x v="15"/>
    <x v="15"/>
    <x v="15"/>
    <x v="15"/>
    <x v="47"/>
    <x v="49"/>
    <x v="90"/>
    <x v="16"/>
    <x v="126"/>
    <x v="10"/>
    <x v="4"/>
  </r>
  <r>
    <x v="0"/>
    <x v="19"/>
    <x v="19"/>
    <x v="36"/>
    <x v="36"/>
    <x v="36"/>
    <x v="15"/>
    <x v="47"/>
    <x v="49"/>
    <x v="114"/>
    <x v="283"/>
    <x v="75"/>
    <x v="229"/>
    <x v="4"/>
  </r>
  <r>
    <x v="0"/>
    <x v="19"/>
    <x v="19"/>
    <x v="46"/>
    <x v="46"/>
    <x v="46"/>
    <x v="17"/>
    <x v="119"/>
    <x v="100"/>
    <x v="47"/>
    <x v="36"/>
    <x v="93"/>
    <x v="1"/>
    <x v="4"/>
  </r>
  <r>
    <x v="0"/>
    <x v="19"/>
    <x v="19"/>
    <x v="19"/>
    <x v="19"/>
    <x v="19"/>
    <x v="17"/>
    <x v="119"/>
    <x v="100"/>
    <x v="50"/>
    <x v="284"/>
    <x v="108"/>
    <x v="125"/>
    <x v="4"/>
  </r>
  <r>
    <x v="0"/>
    <x v="19"/>
    <x v="19"/>
    <x v="18"/>
    <x v="18"/>
    <x v="18"/>
    <x v="19"/>
    <x v="149"/>
    <x v="124"/>
    <x v="105"/>
    <x v="221"/>
    <x v="67"/>
    <x v="230"/>
    <x v="4"/>
  </r>
  <r>
    <x v="0"/>
    <x v="20"/>
    <x v="20"/>
    <x v="1"/>
    <x v="1"/>
    <x v="1"/>
    <x v="0"/>
    <x v="187"/>
    <x v="195"/>
    <x v="166"/>
    <x v="285"/>
    <x v="93"/>
    <x v="92"/>
    <x v="4"/>
  </r>
  <r>
    <x v="0"/>
    <x v="20"/>
    <x v="20"/>
    <x v="2"/>
    <x v="2"/>
    <x v="2"/>
    <x v="1"/>
    <x v="188"/>
    <x v="196"/>
    <x v="167"/>
    <x v="286"/>
    <x v="72"/>
    <x v="94"/>
    <x v="1"/>
  </r>
  <r>
    <x v="0"/>
    <x v="20"/>
    <x v="20"/>
    <x v="0"/>
    <x v="0"/>
    <x v="0"/>
    <x v="2"/>
    <x v="189"/>
    <x v="197"/>
    <x v="168"/>
    <x v="280"/>
    <x v="145"/>
    <x v="231"/>
    <x v="4"/>
  </r>
  <r>
    <x v="0"/>
    <x v="20"/>
    <x v="20"/>
    <x v="3"/>
    <x v="3"/>
    <x v="3"/>
    <x v="3"/>
    <x v="190"/>
    <x v="198"/>
    <x v="169"/>
    <x v="287"/>
    <x v="119"/>
    <x v="219"/>
    <x v="4"/>
  </r>
  <r>
    <x v="0"/>
    <x v="20"/>
    <x v="20"/>
    <x v="54"/>
    <x v="54"/>
    <x v="54"/>
    <x v="4"/>
    <x v="191"/>
    <x v="79"/>
    <x v="170"/>
    <x v="288"/>
    <x v="146"/>
    <x v="97"/>
    <x v="4"/>
  </r>
  <r>
    <x v="0"/>
    <x v="20"/>
    <x v="20"/>
    <x v="5"/>
    <x v="5"/>
    <x v="5"/>
    <x v="5"/>
    <x v="107"/>
    <x v="90"/>
    <x v="171"/>
    <x v="289"/>
    <x v="119"/>
    <x v="219"/>
    <x v="4"/>
  </r>
  <r>
    <x v="0"/>
    <x v="20"/>
    <x v="20"/>
    <x v="8"/>
    <x v="8"/>
    <x v="8"/>
    <x v="6"/>
    <x v="40"/>
    <x v="199"/>
    <x v="35"/>
    <x v="290"/>
    <x v="147"/>
    <x v="232"/>
    <x v="4"/>
  </r>
  <r>
    <x v="0"/>
    <x v="20"/>
    <x v="20"/>
    <x v="4"/>
    <x v="4"/>
    <x v="4"/>
    <x v="7"/>
    <x v="192"/>
    <x v="200"/>
    <x v="172"/>
    <x v="262"/>
    <x v="120"/>
    <x v="152"/>
    <x v="4"/>
  </r>
  <r>
    <x v="0"/>
    <x v="20"/>
    <x v="20"/>
    <x v="6"/>
    <x v="6"/>
    <x v="6"/>
    <x v="7"/>
    <x v="192"/>
    <x v="200"/>
    <x v="173"/>
    <x v="267"/>
    <x v="124"/>
    <x v="63"/>
    <x v="4"/>
  </r>
  <r>
    <x v="0"/>
    <x v="20"/>
    <x v="20"/>
    <x v="7"/>
    <x v="7"/>
    <x v="7"/>
    <x v="9"/>
    <x v="143"/>
    <x v="71"/>
    <x v="174"/>
    <x v="291"/>
    <x v="118"/>
    <x v="49"/>
    <x v="4"/>
  </r>
  <r>
    <x v="0"/>
    <x v="20"/>
    <x v="20"/>
    <x v="12"/>
    <x v="12"/>
    <x v="12"/>
    <x v="10"/>
    <x v="193"/>
    <x v="201"/>
    <x v="128"/>
    <x v="135"/>
    <x v="148"/>
    <x v="183"/>
    <x v="4"/>
  </r>
  <r>
    <x v="0"/>
    <x v="20"/>
    <x v="20"/>
    <x v="41"/>
    <x v="41"/>
    <x v="41"/>
    <x v="11"/>
    <x v="194"/>
    <x v="96"/>
    <x v="93"/>
    <x v="182"/>
    <x v="65"/>
    <x v="62"/>
    <x v="4"/>
  </r>
  <r>
    <x v="0"/>
    <x v="20"/>
    <x v="20"/>
    <x v="11"/>
    <x v="11"/>
    <x v="11"/>
    <x v="12"/>
    <x v="184"/>
    <x v="149"/>
    <x v="38"/>
    <x v="245"/>
    <x v="149"/>
    <x v="29"/>
    <x v="4"/>
  </r>
  <r>
    <x v="0"/>
    <x v="20"/>
    <x v="20"/>
    <x v="10"/>
    <x v="10"/>
    <x v="10"/>
    <x v="13"/>
    <x v="195"/>
    <x v="85"/>
    <x v="73"/>
    <x v="210"/>
    <x v="93"/>
    <x v="92"/>
    <x v="4"/>
  </r>
  <r>
    <x v="0"/>
    <x v="20"/>
    <x v="20"/>
    <x v="9"/>
    <x v="9"/>
    <x v="9"/>
    <x v="14"/>
    <x v="196"/>
    <x v="133"/>
    <x v="32"/>
    <x v="33"/>
    <x v="150"/>
    <x v="233"/>
    <x v="4"/>
  </r>
  <r>
    <x v="0"/>
    <x v="20"/>
    <x v="20"/>
    <x v="13"/>
    <x v="13"/>
    <x v="13"/>
    <x v="15"/>
    <x v="159"/>
    <x v="87"/>
    <x v="115"/>
    <x v="117"/>
    <x v="138"/>
    <x v="234"/>
    <x v="4"/>
  </r>
  <r>
    <x v="0"/>
    <x v="20"/>
    <x v="20"/>
    <x v="16"/>
    <x v="16"/>
    <x v="16"/>
    <x v="16"/>
    <x v="197"/>
    <x v="63"/>
    <x v="57"/>
    <x v="271"/>
    <x v="46"/>
    <x v="76"/>
    <x v="4"/>
  </r>
  <r>
    <x v="0"/>
    <x v="20"/>
    <x v="20"/>
    <x v="53"/>
    <x v="53"/>
    <x v="53"/>
    <x v="17"/>
    <x v="116"/>
    <x v="30"/>
    <x v="47"/>
    <x v="274"/>
    <x v="151"/>
    <x v="168"/>
    <x v="4"/>
  </r>
  <r>
    <x v="0"/>
    <x v="20"/>
    <x v="20"/>
    <x v="15"/>
    <x v="15"/>
    <x v="15"/>
    <x v="18"/>
    <x v="198"/>
    <x v="100"/>
    <x v="148"/>
    <x v="292"/>
    <x v="109"/>
    <x v="235"/>
    <x v="4"/>
  </r>
  <r>
    <x v="0"/>
    <x v="20"/>
    <x v="20"/>
    <x v="36"/>
    <x v="36"/>
    <x v="36"/>
    <x v="18"/>
    <x v="198"/>
    <x v="100"/>
    <x v="94"/>
    <x v="181"/>
    <x v="52"/>
    <x v="72"/>
    <x v="4"/>
  </r>
  <r>
    <x v="0"/>
    <x v="21"/>
    <x v="21"/>
    <x v="55"/>
    <x v="55"/>
    <x v="55"/>
    <x v="0"/>
    <x v="127"/>
    <x v="202"/>
    <x v="112"/>
    <x v="293"/>
    <x v="152"/>
    <x v="236"/>
    <x v="4"/>
  </r>
  <r>
    <x v="0"/>
    <x v="21"/>
    <x v="21"/>
    <x v="1"/>
    <x v="1"/>
    <x v="1"/>
    <x v="1"/>
    <x v="61"/>
    <x v="203"/>
    <x v="147"/>
    <x v="294"/>
    <x v="90"/>
    <x v="68"/>
    <x v="4"/>
  </r>
  <r>
    <x v="0"/>
    <x v="21"/>
    <x v="21"/>
    <x v="0"/>
    <x v="0"/>
    <x v="0"/>
    <x v="2"/>
    <x v="90"/>
    <x v="106"/>
    <x v="123"/>
    <x v="295"/>
    <x v="128"/>
    <x v="237"/>
    <x v="4"/>
  </r>
  <r>
    <x v="0"/>
    <x v="21"/>
    <x v="21"/>
    <x v="6"/>
    <x v="6"/>
    <x v="6"/>
    <x v="3"/>
    <x v="199"/>
    <x v="166"/>
    <x v="82"/>
    <x v="296"/>
    <x v="74"/>
    <x v="25"/>
    <x v="4"/>
  </r>
  <r>
    <x v="0"/>
    <x v="21"/>
    <x v="21"/>
    <x v="3"/>
    <x v="3"/>
    <x v="3"/>
    <x v="4"/>
    <x v="102"/>
    <x v="54"/>
    <x v="175"/>
    <x v="297"/>
    <x v="78"/>
    <x v="238"/>
    <x v="4"/>
  </r>
  <r>
    <x v="0"/>
    <x v="21"/>
    <x v="21"/>
    <x v="56"/>
    <x v="56"/>
    <x v="56"/>
    <x v="5"/>
    <x v="51"/>
    <x v="204"/>
    <x v="128"/>
    <x v="298"/>
    <x v="128"/>
    <x v="237"/>
    <x v="4"/>
  </r>
  <r>
    <x v="0"/>
    <x v="21"/>
    <x v="21"/>
    <x v="14"/>
    <x v="14"/>
    <x v="14"/>
    <x v="6"/>
    <x v="67"/>
    <x v="81"/>
    <x v="81"/>
    <x v="9"/>
    <x v="86"/>
    <x v="239"/>
    <x v="4"/>
  </r>
  <r>
    <x v="0"/>
    <x v="21"/>
    <x v="21"/>
    <x v="8"/>
    <x v="8"/>
    <x v="8"/>
    <x v="7"/>
    <x v="69"/>
    <x v="187"/>
    <x v="128"/>
    <x v="298"/>
    <x v="59"/>
    <x v="167"/>
    <x v="4"/>
  </r>
  <r>
    <x v="0"/>
    <x v="21"/>
    <x v="21"/>
    <x v="2"/>
    <x v="2"/>
    <x v="2"/>
    <x v="7"/>
    <x v="69"/>
    <x v="187"/>
    <x v="63"/>
    <x v="205"/>
    <x v="63"/>
    <x v="42"/>
    <x v="4"/>
  </r>
  <r>
    <x v="0"/>
    <x v="21"/>
    <x v="21"/>
    <x v="11"/>
    <x v="11"/>
    <x v="11"/>
    <x v="9"/>
    <x v="71"/>
    <x v="60"/>
    <x v="56"/>
    <x v="117"/>
    <x v="89"/>
    <x v="240"/>
    <x v="4"/>
  </r>
  <r>
    <x v="0"/>
    <x v="21"/>
    <x v="21"/>
    <x v="5"/>
    <x v="5"/>
    <x v="5"/>
    <x v="9"/>
    <x v="71"/>
    <x v="60"/>
    <x v="98"/>
    <x v="88"/>
    <x v="54"/>
    <x v="241"/>
    <x v="4"/>
  </r>
  <r>
    <x v="0"/>
    <x v="21"/>
    <x v="21"/>
    <x v="57"/>
    <x v="57"/>
    <x v="57"/>
    <x v="11"/>
    <x v="200"/>
    <x v="72"/>
    <x v="134"/>
    <x v="54"/>
    <x v="97"/>
    <x v="84"/>
    <x v="4"/>
  </r>
  <r>
    <x v="0"/>
    <x v="21"/>
    <x v="21"/>
    <x v="4"/>
    <x v="4"/>
    <x v="4"/>
    <x v="12"/>
    <x v="129"/>
    <x v="98"/>
    <x v="108"/>
    <x v="299"/>
    <x v="122"/>
    <x v="122"/>
    <x v="4"/>
  </r>
  <r>
    <x v="0"/>
    <x v="21"/>
    <x v="21"/>
    <x v="10"/>
    <x v="10"/>
    <x v="10"/>
    <x v="13"/>
    <x v="130"/>
    <x v="133"/>
    <x v="138"/>
    <x v="300"/>
    <x v="45"/>
    <x v="22"/>
    <x v="4"/>
  </r>
  <r>
    <x v="0"/>
    <x v="21"/>
    <x v="21"/>
    <x v="17"/>
    <x v="17"/>
    <x v="17"/>
    <x v="13"/>
    <x v="130"/>
    <x v="133"/>
    <x v="68"/>
    <x v="209"/>
    <x v="56"/>
    <x v="37"/>
    <x v="4"/>
  </r>
  <r>
    <x v="0"/>
    <x v="21"/>
    <x v="21"/>
    <x v="13"/>
    <x v="13"/>
    <x v="13"/>
    <x v="15"/>
    <x v="136"/>
    <x v="15"/>
    <x v="56"/>
    <x v="117"/>
    <x v="56"/>
    <x v="37"/>
    <x v="4"/>
  </r>
  <r>
    <x v="0"/>
    <x v="21"/>
    <x v="21"/>
    <x v="33"/>
    <x v="33"/>
    <x v="33"/>
    <x v="15"/>
    <x v="136"/>
    <x v="15"/>
    <x v="176"/>
    <x v="301"/>
    <x v="99"/>
    <x v="70"/>
    <x v="4"/>
  </r>
  <r>
    <x v="0"/>
    <x v="21"/>
    <x v="21"/>
    <x v="15"/>
    <x v="15"/>
    <x v="15"/>
    <x v="15"/>
    <x v="136"/>
    <x v="15"/>
    <x v="143"/>
    <x v="131"/>
    <x v="80"/>
    <x v="4"/>
    <x v="4"/>
  </r>
  <r>
    <x v="0"/>
    <x v="21"/>
    <x v="21"/>
    <x v="7"/>
    <x v="7"/>
    <x v="7"/>
    <x v="18"/>
    <x v="134"/>
    <x v="34"/>
    <x v="51"/>
    <x v="29"/>
    <x v="121"/>
    <x v="138"/>
    <x v="4"/>
  </r>
  <r>
    <x v="0"/>
    <x v="21"/>
    <x v="21"/>
    <x v="36"/>
    <x v="36"/>
    <x v="36"/>
    <x v="18"/>
    <x v="134"/>
    <x v="34"/>
    <x v="176"/>
    <x v="301"/>
    <x v="63"/>
    <x v="42"/>
    <x v="4"/>
  </r>
  <r>
    <x v="0"/>
    <x v="22"/>
    <x v="22"/>
    <x v="1"/>
    <x v="1"/>
    <x v="1"/>
    <x v="0"/>
    <x v="135"/>
    <x v="205"/>
    <x v="177"/>
    <x v="302"/>
    <x v="45"/>
    <x v="242"/>
    <x v="4"/>
  </r>
  <r>
    <x v="0"/>
    <x v="22"/>
    <x v="22"/>
    <x v="4"/>
    <x v="4"/>
    <x v="4"/>
    <x v="1"/>
    <x v="47"/>
    <x v="206"/>
    <x v="99"/>
    <x v="58"/>
    <x v="77"/>
    <x v="140"/>
    <x v="4"/>
  </r>
  <r>
    <x v="0"/>
    <x v="22"/>
    <x v="22"/>
    <x v="2"/>
    <x v="2"/>
    <x v="2"/>
    <x v="2"/>
    <x v="98"/>
    <x v="207"/>
    <x v="69"/>
    <x v="303"/>
    <x v="97"/>
    <x v="15"/>
    <x v="4"/>
  </r>
  <r>
    <x v="0"/>
    <x v="22"/>
    <x v="22"/>
    <x v="0"/>
    <x v="0"/>
    <x v="0"/>
    <x v="3"/>
    <x v="61"/>
    <x v="208"/>
    <x v="78"/>
    <x v="304"/>
    <x v="102"/>
    <x v="243"/>
    <x v="4"/>
  </r>
  <r>
    <x v="0"/>
    <x v="22"/>
    <x v="22"/>
    <x v="5"/>
    <x v="5"/>
    <x v="5"/>
    <x v="4"/>
    <x v="157"/>
    <x v="209"/>
    <x v="59"/>
    <x v="305"/>
    <x v="99"/>
    <x v="156"/>
    <x v="4"/>
  </r>
  <r>
    <x v="0"/>
    <x v="22"/>
    <x v="22"/>
    <x v="7"/>
    <x v="7"/>
    <x v="7"/>
    <x v="5"/>
    <x v="50"/>
    <x v="210"/>
    <x v="113"/>
    <x v="257"/>
    <x v="54"/>
    <x v="102"/>
    <x v="4"/>
  </r>
  <r>
    <x v="0"/>
    <x v="22"/>
    <x v="22"/>
    <x v="6"/>
    <x v="6"/>
    <x v="6"/>
    <x v="6"/>
    <x v="81"/>
    <x v="91"/>
    <x v="50"/>
    <x v="306"/>
    <x v="74"/>
    <x v="244"/>
    <x v="4"/>
  </r>
  <r>
    <x v="0"/>
    <x v="22"/>
    <x v="22"/>
    <x v="8"/>
    <x v="8"/>
    <x v="8"/>
    <x v="7"/>
    <x v="93"/>
    <x v="42"/>
    <x v="108"/>
    <x v="307"/>
    <x v="88"/>
    <x v="160"/>
    <x v="4"/>
  </r>
  <r>
    <x v="0"/>
    <x v="22"/>
    <x v="22"/>
    <x v="3"/>
    <x v="3"/>
    <x v="3"/>
    <x v="8"/>
    <x v="83"/>
    <x v="7"/>
    <x v="131"/>
    <x v="136"/>
    <x v="124"/>
    <x v="152"/>
    <x v="4"/>
  </r>
  <r>
    <x v="0"/>
    <x v="22"/>
    <x v="22"/>
    <x v="11"/>
    <x v="11"/>
    <x v="11"/>
    <x v="9"/>
    <x v="69"/>
    <x v="211"/>
    <x v="56"/>
    <x v="124"/>
    <x v="93"/>
    <x v="245"/>
    <x v="4"/>
  </r>
  <r>
    <x v="0"/>
    <x v="22"/>
    <x v="22"/>
    <x v="14"/>
    <x v="14"/>
    <x v="14"/>
    <x v="10"/>
    <x v="200"/>
    <x v="61"/>
    <x v="48"/>
    <x v="110"/>
    <x v="52"/>
    <x v="129"/>
    <x v="4"/>
  </r>
  <r>
    <x v="0"/>
    <x v="22"/>
    <x v="22"/>
    <x v="9"/>
    <x v="9"/>
    <x v="9"/>
    <x v="10"/>
    <x v="200"/>
    <x v="61"/>
    <x v="58"/>
    <x v="135"/>
    <x v="40"/>
    <x v="246"/>
    <x v="4"/>
  </r>
  <r>
    <x v="0"/>
    <x v="22"/>
    <x v="22"/>
    <x v="13"/>
    <x v="13"/>
    <x v="13"/>
    <x v="12"/>
    <x v="166"/>
    <x v="10"/>
    <x v="56"/>
    <x v="124"/>
    <x v="94"/>
    <x v="247"/>
    <x v="4"/>
  </r>
  <r>
    <x v="0"/>
    <x v="22"/>
    <x v="22"/>
    <x v="20"/>
    <x v="20"/>
    <x v="20"/>
    <x v="13"/>
    <x v="152"/>
    <x v="149"/>
    <x v="127"/>
    <x v="308"/>
    <x v="81"/>
    <x v="248"/>
    <x v="4"/>
  </r>
  <r>
    <x v="0"/>
    <x v="22"/>
    <x v="22"/>
    <x v="19"/>
    <x v="19"/>
    <x v="19"/>
    <x v="13"/>
    <x v="152"/>
    <x v="149"/>
    <x v="165"/>
    <x v="309"/>
    <x v="64"/>
    <x v="147"/>
    <x v="4"/>
  </r>
  <r>
    <x v="0"/>
    <x v="22"/>
    <x v="22"/>
    <x v="12"/>
    <x v="12"/>
    <x v="12"/>
    <x v="15"/>
    <x v="131"/>
    <x v="133"/>
    <x v="88"/>
    <x v="310"/>
    <x v="94"/>
    <x v="247"/>
    <x v="4"/>
  </r>
  <r>
    <x v="0"/>
    <x v="22"/>
    <x v="22"/>
    <x v="10"/>
    <x v="10"/>
    <x v="10"/>
    <x v="15"/>
    <x v="131"/>
    <x v="133"/>
    <x v="138"/>
    <x v="181"/>
    <x v="70"/>
    <x v="77"/>
    <x v="4"/>
  </r>
  <r>
    <x v="0"/>
    <x v="22"/>
    <x v="22"/>
    <x v="44"/>
    <x v="44"/>
    <x v="44"/>
    <x v="17"/>
    <x v="125"/>
    <x v="87"/>
    <x v="88"/>
    <x v="310"/>
    <x v="88"/>
    <x v="160"/>
    <x v="4"/>
  </r>
  <r>
    <x v="0"/>
    <x v="22"/>
    <x v="22"/>
    <x v="53"/>
    <x v="53"/>
    <x v="53"/>
    <x v="18"/>
    <x v="132"/>
    <x v="75"/>
    <x v="88"/>
    <x v="310"/>
    <x v="75"/>
    <x v="11"/>
    <x v="4"/>
  </r>
  <r>
    <x v="0"/>
    <x v="22"/>
    <x v="22"/>
    <x v="26"/>
    <x v="26"/>
    <x v="26"/>
    <x v="19"/>
    <x v="126"/>
    <x v="30"/>
    <x v="105"/>
    <x v="311"/>
    <x v="63"/>
    <x v="249"/>
    <x v="4"/>
  </r>
  <r>
    <x v="0"/>
    <x v="23"/>
    <x v="23"/>
    <x v="1"/>
    <x v="1"/>
    <x v="1"/>
    <x v="0"/>
    <x v="201"/>
    <x v="212"/>
    <x v="178"/>
    <x v="312"/>
    <x v="48"/>
    <x v="47"/>
    <x v="4"/>
  </r>
  <r>
    <x v="0"/>
    <x v="23"/>
    <x v="23"/>
    <x v="2"/>
    <x v="2"/>
    <x v="2"/>
    <x v="1"/>
    <x v="202"/>
    <x v="213"/>
    <x v="179"/>
    <x v="313"/>
    <x v="123"/>
    <x v="250"/>
    <x v="4"/>
  </r>
  <r>
    <x v="0"/>
    <x v="23"/>
    <x v="23"/>
    <x v="3"/>
    <x v="3"/>
    <x v="3"/>
    <x v="2"/>
    <x v="203"/>
    <x v="214"/>
    <x v="109"/>
    <x v="314"/>
    <x v="77"/>
    <x v="21"/>
    <x v="4"/>
  </r>
  <r>
    <x v="0"/>
    <x v="23"/>
    <x v="23"/>
    <x v="6"/>
    <x v="6"/>
    <x v="6"/>
    <x v="3"/>
    <x v="143"/>
    <x v="215"/>
    <x v="179"/>
    <x v="313"/>
    <x v="124"/>
    <x v="102"/>
    <x v="4"/>
  </r>
  <r>
    <x v="0"/>
    <x v="23"/>
    <x v="23"/>
    <x v="0"/>
    <x v="0"/>
    <x v="0"/>
    <x v="4"/>
    <x v="164"/>
    <x v="68"/>
    <x v="175"/>
    <x v="206"/>
    <x v="143"/>
    <x v="60"/>
    <x v="4"/>
  </r>
  <r>
    <x v="0"/>
    <x v="23"/>
    <x v="23"/>
    <x v="5"/>
    <x v="5"/>
    <x v="5"/>
    <x v="5"/>
    <x v="204"/>
    <x v="130"/>
    <x v="180"/>
    <x v="315"/>
    <x v="119"/>
    <x v="135"/>
    <x v="4"/>
  </r>
  <r>
    <x v="0"/>
    <x v="23"/>
    <x v="23"/>
    <x v="7"/>
    <x v="7"/>
    <x v="7"/>
    <x v="6"/>
    <x v="96"/>
    <x v="166"/>
    <x v="181"/>
    <x v="316"/>
    <x v="45"/>
    <x v="251"/>
    <x v="4"/>
  </r>
  <r>
    <x v="0"/>
    <x v="23"/>
    <x v="23"/>
    <x v="8"/>
    <x v="8"/>
    <x v="8"/>
    <x v="7"/>
    <x v="115"/>
    <x v="179"/>
    <x v="64"/>
    <x v="54"/>
    <x v="129"/>
    <x v="43"/>
    <x v="4"/>
  </r>
  <r>
    <x v="0"/>
    <x v="23"/>
    <x v="23"/>
    <x v="4"/>
    <x v="4"/>
    <x v="4"/>
    <x v="7"/>
    <x v="115"/>
    <x v="179"/>
    <x v="144"/>
    <x v="267"/>
    <x v="132"/>
    <x v="127"/>
    <x v="4"/>
  </r>
  <r>
    <x v="0"/>
    <x v="23"/>
    <x v="23"/>
    <x v="11"/>
    <x v="11"/>
    <x v="11"/>
    <x v="9"/>
    <x v="186"/>
    <x v="186"/>
    <x v="138"/>
    <x v="89"/>
    <x v="146"/>
    <x v="252"/>
    <x v="4"/>
  </r>
  <r>
    <x v="0"/>
    <x v="23"/>
    <x v="23"/>
    <x v="13"/>
    <x v="13"/>
    <x v="13"/>
    <x v="10"/>
    <x v="59"/>
    <x v="94"/>
    <x v="143"/>
    <x v="102"/>
    <x v="62"/>
    <x v="185"/>
    <x v="4"/>
  </r>
  <r>
    <x v="0"/>
    <x v="23"/>
    <x v="23"/>
    <x v="12"/>
    <x v="12"/>
    <x v="12"/>
    <x v="11"/>
    <x v="119"/>
    <x v="71"/>
    <x v="58"/>
    <x v="179"/>
    <x v="146"/>
    <x v="252"/>
    <x v="4"/>
  </r>
  <r>
    <x v="0"/>
    <x v="23"/>
    <x v="23"/>
    <x v="14"/>
    <x v="14"/>
    <x v="14"/>
    <x v="12"/>
    <x v="205"/>
    <x v="111"/>
    <x v="58"/>
    <x v="179"/>
    <x v="153"/>
    <x v="253"/>
    <x v="4"/>
  </r>
  <r>
    <x v="0"/>
    <x v="23"/>
    <x v="23"/>
    <x v="19"/>
    <x v="19"/>
    <x v="19"/>
    <x v="13"/>
    <x v="98"/>
    <x v="46"/>
    <x v="132"/>
    <x v="317"/>
    <x v="65"/>
    <x v="147"/>
    <x v="4"/>
  </r>
  <r>
    <x v="0"/>
    <x v="23"/>
    <x v="23"/>
    <x v="17"/>
    <x v="17"/>
    <x v="17"/>
    <x v="14"/>
    <x v="80"/>
    <x v="47"/>
    <x v="117"/>
    <x v="147"/>
    <x v="55"/>
    <x v="78"/>
    <x v="4"/>
  </r>
  <r>
    <x v="0"/>
    <x v="23"/>
    <x v="23"/>
    <x v="36"/>
    <x v="36"/>
    <x v="36"/>
    <x v="15"/>
    <x v="62"/>
    <x v="85"/>
    <x v="67"/>
    <x v="19"/>
    <x v="93"/>
    <x v="113"/>
    <x v="4"/>
  </r>
  <r>
    <x v="0"/>
    <x v="23"/>
    <x v="23"/>
    <x v="10"/>
    <x v="10"/>
    <x v="10"/>
    <x v="16"/>
    <x v="151"/>
    <x v="74"/>
    <x v="126"/>
    <x v="318"/>
    <x v="52"/>
    <x v="84"/>
    <x v="4"/>
  </r>
  <r>
    <x v="0"/>
    <x v="23"/>
    <x v="23"/>
    <x v="15"/>
    <x v="15"/>
    <x v="15"/>
    <x v="17"/>
    <x v="50"/>
    <x v="100"/>
    <x v="165"/>
    <x v="319"/>
    <x v="126"/>
    <x v="110"/>
    <x v="4"/>
  </r>
  <r>
    <x v="0"/>
    <x v="23"/>
    <x v="23"/>
    <x v="16"/>
    <x v="16"/>
    <x v="16"/>
    <x v="18"/>
    <x v="81"/>
    <x v="32"/>
    <x v="134"/>
    <x v="320"/>
    <x v="48"/>
    <x v="47"/>
    <x v="4"/>
  </r>
  <r>
    <x v="0"/>
    <x v="23"/>
    <x v="23"/>
    <x v="53"/>
    <x v="53"/>
    <x v="53"/>
    <x v="19"/>
    <x v="199"/>
    <x v="15"/>
    <x v="77"/>
    <x v="161"/>
    <x v="101"/>
    <x v="108"/>
    <x v="4"/>
  </r>
  <r>
    <x v="0"/>
    <x v="24"/>
    <x v="24"/>
    <x v="1"/>
    <x v="1"/>
    <x v="1"/>
    <x v="0"/>
    <x v="206"/>
    <x v="216"/>
    <x v="182"/>
    <x v="321"/>
    <x v="68"/>
    <x v="254"/>
    <x v="4"/>
  </r>
  <r>
    <x v="0"/>
    <x v="24"/>
    <x v="24"/>
    <x v="2"/>
    <x v="2"/>
    <x v="2"/>
    <x v="1"/>
    <x v="207"/>
    <x v="196"/>
    <x v="42"/>
    <x v="322"/>
    <x v="56"/>
    <x v="134"/>
    <x v="4"/>
  </r>
  <r>
    <x v="0"/>
    <x v="24"/>
    <x v="24"/>
    <x v="6"/>
    <x v="6"/>
    <x v="6"/>
    <x v="2"/>
    <x v="153"/>
    <x v="217"/>
    <x v="140"/>
    <x v="128"/>
    <x v="51"/>
    <x v="241"/>
    <x v="4"/>
  </r>
  <r>
    <x v="0"/>
    <x v="24"/>
    <x v="24"/>
    <x v="8"/>
    <x v="8"/>
    <x v="8"/>
    <x v="3"/>
    <x v="45"/>
    <x v="218"/>
    <x v="115"/>
    <x v="323"/>
    <x v="86"/>
    <x v="255"/>
    <x v="4"/>
  </r>
  <r>
    <x v="0"/>
    <x v="24"/>
    <x v="24"/>
    <x v="5"/>
    <x v="5"/>
    <x v="5"/>
    <x v="4"/>
    <x v="149"/>
    <x v="107"/>
    <x v="46"/>
    <x v="62"/>
    <x v="78"/>
    <x v="180"/>
    <x v="4"/>
  </r>
  <r>
    <x v="0"/>
    <x v="24"/>
    <x v="24"/>
    <x v="7"/>
    <x v="7"/>
    <x v="7"/>
    <x v="5"/>
    <x v="61"/>
    <x v="23"/>
    <x v="158"/>
    <x v="324"/>
    <x v="99"/>
    <x v="135"/>
    <x v="4"/>
  </r>
  <r>
    <x v="0"/>
    <x v="24"/>
    <x v="24"/>
    <x v="3"/>
    <x v="3"/>
    <x v="3"/>
    <x v="6"/>
    <x v="99"/>
    <x v="219"/>
    <x v="158"/>
    <x v="324"/>
    <x v="118"/>
    <x v="56"/>
    <x v="4"/>
  </r>
  <r>
    <x v="0"/>
    <x v="24"/>
    <x v="24"/>
    <x v="10"/>
    <x v="10"/>
    <x v="10"/>
    <x v="7"/>
    <x v="90"/>
    <x v="220"/>
    <x v="122"/>
    <x v="157"/>
    <x v="88"/>
    <x v="202"/>
    <x v="4"/>
  </r>
  <r>
    <x v="0"/>
    <x v="24"/>
    <x v="24"/>
    <x v="4"/>
    <x v="4"/>
    <x v="4"/>
    <x v="8"/>
    <x v="65"/>
    <x v="119"/>
    <x v="120"/>
    <x v="47"/>
    <x v="70"/>
    <x v="51"/>
    <x v="4"/>
  </r>
  <r>
    <x v="0"/>
    <x v="24"/>
    <x v="24"/>
    <x v="0"/>
    <x v="0"/>
    <x v="0"/>
    <x v="9"/>
    <x v="50"/>
    <x v="82"/>
    <x v="32"/>
    <x v="131"/>
    <x v="128"/>
    <x v="220"/>
    <x v="1"/>
  </r>
  <r>
    <x v="0"/>
    <x v="24"/>
    <x v="24"/>
    <x v="15"/>
    <x v="15"/>
    <x v="15"/>
    <x v="10"/>
    <x v="91"/>
    <x v="193"/>
    <x v="54"/>
    <x v="87"/>
    <x v="85"/>
    <x v="97"/>
    <x v="4"/>
  </r>
  <r>
    <x v="0"/>
    <x v="24"/>
    <x v="24"/>
    <x v="12"/>
    <x v="12"/>
    <x v="12"/>
    <x v="11"/>
    <x v="66"/>
    <x v="94"/>
    <x v="81"/>
    <x v="325"/>
    <x v="53"/>
    <x v="189"/>
    <x v="4"/>
  </r>
  <r>
    <x v="0"/>
    <x v="24"/>
    <x v="24"/>
    <x v="16"/>
    <x v="16"/>
    <x v="16"/>
    <x v="12"/>
    <x v="53"/>
    <x v="60"/>
    <x v="55"/>
    <x v="326"/>
    <x v="45"/>
    <x v="208"/>
    <x v="4"/>
  </r>
  <r>
    <x v="0"/>
    <x v="24"/>
    <x v="24"/>
    <x v="11"/>
    <x v="11"/>
    <x v="11"/>
    <x v="13"/>
    <x v="93"/>
    <x v="61"/>
    <x v="143"/>
    <x v="234"/>
    <x v="133"/>
    <x v="256"/>
    <x v="4"/>
  </r>
  <r>
    <x v="0"/>
    <x v="24"/>
    <x v="24"/>
    <x v="14"/>
    <x v="14"/>
    <x v="14"/>
    <x v="14"/>
    <x v="150"/>
    <x v="201"/>
    <x v="76"/>
    <x v="327"/>
    <x v="66"/>
    <x v="257"/>
    <x v="4"/>
  </r>
  <r>
    <x v="0"/>
    <x v="24"/>
    <x v="24"/>
    <x v="53"/>
    <x v="53"/>
    <x v="53"/>
    <x v="14"/>
    <x v="150"/>
    <x v="201"/>
    <x v="138"/>
    <x v="271"/>
    <x v="52"/>
    <x v="192"/>
    <x v="4"/>
  </r>
  <r>
    <x v="0"/>
    <x v="24"/>
    <x v="24"/>
    <x v="58"/>
    <x v="58"/>
    <x v="58"/>
    <x v="16"/>
    <x v="56"/>
    <x v="98"/>
    <x v="54"/>
    <x v="87"/>
    <x v="97"/>
    <x v="136"/>
    <x v="1"/>
  </r>
  <r>
    <x v="0"/>
    <x v="24"/>
    <x v="24"/>
    <x v="33"/>
    <x v="33"/>
    <x v="33"/>
    <x v="17"/>
    <x v="128"/>
    <x v="48"/>
    <x v="183"/>
    <x v="328"/>
    <x v="70"/>
    <x v="51"/>
    <x v="5"/>
  </r>
  <r>
    <x v="0"/>
    <x v="24"/>
    <x v="24"/>
    <x v="13"/>
    <x v="13"/>
    <x v="13"/>
    <x v="18"/>
    <x v="120"/>
    <x v="87"/>
    <x v="101"/>
    <x v="103"/>
    <x v="123"/>
    <x v="50"/>
    <x v="4"/>
  </r>
  <r>
    <x v="0"/>
    <x v="24"/>
    <x v="24"/>
    <x v="50"/>
    <x v="50"/>
    <x v="50"/>
    <x v="19"/>
    <x v="155"/>
    <x v="100"/>
    <x v="77"/>
    <x v="191"/>
    <x v="120"/>
    <x v="120"/>
    <x v="4"/>
  </r>
  <r>
    <x v="0"/>
    <x v="25"/>
    <x v="25"/>
    <x v="2"/>
    <x v="2"/>
    <x v="2"/>
    <x v="0"/>
    <x v="91"/>
    <x v="221"/>
    <x v="82"/>
    <x v="329"/>
    <x v="78"/>
    <x v="258"/>
    <x v="4"/>
  </r>
  <r>
    <x v="0"/>
    <x v="25"/>
    <x v="25"/>
    <x v="1"/>
    <x v="1"/>
    <x v="1"/>
    <x v="1"/>
    <x v="56"/>
    <x v="222"/>
    <x v="62"/>
    <x v="330"/>
    <x v="51"/>
    <x v="159"/>
    <x v="4"/>
  </r>
  <r>
    <x v="0"/>
    <x v="25"/>
    <x v="25"/>
    <x v="0"/>
    <x v="0"/>
    <x v="0"/>
    <x v="2"/>
    <x v="83"/>
    <x v="213"/>
    <x v="138"/>
    <x v="215"/>
    <x v="94"/>
    <x v="259"/>
    <x v="4"/>
  </r>
  <r>
    <x v="0"/>
    <x v="25"/>
    <x v="25"/>
    <x v="5"/>
    <x v="5"/>
    <x v="5"/>
    <x v="3"/>
    <x v="71"/>
    <x v="223"/>
    <x v="98"/>
    <x v="164"/>
    <x v="54"/>
    <x v="260"/>
    <x v="4"/>
  </r>
  <r>
    <x v="0"/>
    <x v="25"/>
    <x v="25"/>
    <x v="3"/>
    <x v="3"/>
    <x v="3"/>
    <x v="4"/>
    <x v="123"/>
    <x v="19"/>
    <x v="67"/>
    <x v="296"/>
    <x v="81"/>
    <x v="261"/>
    <x v="4"/>
  </r>
  <r>
    <x v="0"/>
    <x v="25"/>
    <x v="25"/>
    <x v="6"/>
    <x v="6"/>
    <x v="6"/>
    <x v="5"/>
    <x v="200"/>
    <x v="170"/>
    <x v="98"/>
    <x v="164"/>
    <x v="81"/>
    <x v="261"/>
    <x v="4"/>
  </r>
  <r>
    <x v="0"/>
    <x v="25"/>
    <x v="25"/>
    <x v="8"/>
    <x v="8"/>
    <x v="8"/>
    <x v="6"/>
    <x v="131"/>
    <x v="224"/>
    <x v="128"/>
    <x v="331"/>
    <x v="47"/>
    <x v="262"/>
    <x v="4"/>
  </r>
  <r>
    <x v="0"/>
    <x v="25"/>
    <x v="25"/>
    <x v="15"/>
    <x v="15"/>
    <x v="15"/>
    <x v="7"/>
    <x v="134"/>
    <x v="220"/>
    <x v="56"/>
    <x v="332"/>
    <x v="119"/>
    <x v="9"/>
    <x v="4"/>
  </r>
  <r>
    <x v="0"/>
    <x v="25"/>
    <x v="25"/>
    <x v="4"/>
    <x v="4"/>
    <x v="4"/>
    <x v="8"/>
    <x v="208"/>
    <x v="211"/>
    <x v="119"/>
    <x v="333"/>
    <x v="63"/>
    <x v="263"/>
    <x v="4"/>
  </r>
  <r>
    <x v="0"/>
    <x v="25"/>
    <x v="25"/>
    <x v="10"/>
    <x v="10"/>
    <x v="10"/>
    <x v="9"/>
    <x v="140"/>
    <x v="95"/>
    <x v="143"/>
    <x v="210"/>
    <x v="124"/>
    <x v="127"/>
    <x v="4"/>
  </r>
  <r>
    <x v="0"/>
    <x v="25"/>
    <x v="25"/>
    <x v="9"/>
    <x v="9"/>
    <x v="9"/>
    <x v="10"/>
    <x v="141"/>
    <x v="62"/>
    <x v="53"/>
    <x v="240"/>
    <x v="119"/>
    <x v="9"/>
    <x v="4"/>
  </r>
  <r>
    <x v="0"/>
    <x v="25"/>
    <x v="25"/>
    <x v="7"/>
    <x v="7"/>
    <x v="7"/>
    <x v="10"/>
    <x v="141"/>
    <x v="62"/>
    <x v="128"/>
    <x v="331"/>
    <x v="54"/>
    <x v="260"/>
    <x v="4"/>
  </r>
  <r>
    <x v="0"/>
    <x v="25"/>
    <x v="25"/>
    <x v="33"/>
    <x v="33"/>
    <x v="33"/>
    <x v="12"/>
    <x v="142"/>
    <x v="225"/>
    <x v="56"/>
    <x v="332"/>
    <x v="99"/>
    <x v="76"/>
    <x v="4"/>
  </r>
  <r>
    <x v="0"/>
    <x v="25"/>
    <x v="25"/>
    <x v="11"/>
    <x v="11"/>
    <x v="11"/>
    <x v="13"/>
    <x v="209"/>
    <x v="29"/>
    <x v="88"/>
    <x v="334"/>
    <x v="68"/>
    <x v="264"/>
    <x v="4"/>
  </r>
  <r>
    <x v="0"/>
    <x v="25"/>
    <x v="25"/>
    <x v="39"/>
    <x v="39"/>
    <x v="39"/>
    <x v="13"/>
    <x v="209"/>
    <x v="29"/>
    <x v="81"/>
    <x v="11"/>
    <x v="45"/>
    <x v="65"/>
    <x v="4"/>
  </r>
  <r>
    <x v="0"/>
    <x v="25"/>
    <x v="25"/>
    <x v="19"/>
    <x v="19"/>
    <x v="19"/>
    <x v="13"/>
    <x v="209"/>
    <x v="29"/>
    <x v="100"/>
    <x v="144"/>
    <x v="51"/>
    <x v="159"/>
    <x v="4"/>
  </r>
  <r>
    <x v="0"/>
    <x v="25"/>
    <x v="25"/>
    <x v="58"/>
    <x v="58"/>
    <x v="58"/>
    <x v="16"/>
    <x v="210"/>
    <x v="75"/>
    <x v="143"/>
    <x v="210"/>
    <x v="51"/>
    <x v="159"/>
    <x v="4"/>
  </r>
  <r>
    <x v="0"/>
    <x v="25"/>
    <x v="25"/>
    <x v="16"/>
    <x v="16"/>
    <x v="16"/>
    <x v="16"/>
    <x v="210"/>
    <x v="75"/>
    <x v="74"/>
    <x v="335"/>
    <x v="124"/>
    <x v="127"/>
    <x v="4"/>
  </r>
  <r>
    <x v="0"/>
    <x v="25"/>
    <x v="25"/>
    <x v="14"/>
    <x v="14"/>
    <x v="14"/>
    <x v="18"/>
    <x v="211"/>
    <x v="124"/>
    <x v="116"/>
    <x v="12"/>
    <x v="45"/>
    <x v="65"/>
    <x v="4"/>
  </r>
  <r>
    <x v="0"/>
    <x v="25"/>
    <x v="25"/>
    <x v="12"/>
    <x v="12"/>
    <x v="12"/>
    <x v="18"/>
    <x v="211"/>
    <x v="124"/>
    <x v="58"/>
    <x v="336"/>
    <x v="68"/>
    <x v="264"/>
    <x v="4"/>
  </r>
  <r>
    <x v="0"/>
    <x v="25"/>
    <x v="25"/>
    <x v="13"/>
    <x v="13"/>
    <x v="13"/>
    <x v="18"/>
    <x v="211"/>
    <x v="124"/>
    <x v="116"/>
    <x v="12"/>
    <x v="45"/>
    <x v="65"/>
    <x v="4"/>
  </r>
  <r>
    <x v="0"/>
    <x v="25"/>
    <x v="25"/>
    <x v="44"/>
    <x v="44"/>
    <x v="44"/>
    <x v="18"/>
    <x v="211"/>
    <x v="124"/>
    <x v="49"/>
    <x v="168"/>
    <x v="80"/>
    <x v="265"/>
    <x v="4"/>
  </r>
  <r>
    <x v="0"/>
    <x v="25"/>
    <x v="25"/>
    <x v="41"/>
    <x v="41"/>
    <x v="41"/>
    <x v="18"/>
    <x v="211"/>
    <x v="124"/>
    <x v="143"/>
    <x v="210"/>
    <x v="74"/>
    <x v="238"/>
    <x v="4"/>
  </r>
  <r>
    <x v="0"/>
    <x v="26"/>
    <x v="26"/>
    <x v="1"/>
    <x v="1"/>
    <x v="1"/>
    <x v="0"/>
    <x v="65"/>
    <x v="226"/>
    <x v="114"/>
    <x v="337"/>
    <x v="54"/>
    <x v="57"/>
    <x v="4"/>
  </r>
  <r>
    <x v="0"/>
    <x v="26"/>
    <x v="26"/>
    <x v="0"/>
    <x v="0"/>
    <x v="0"/>
    <x v="1"/>
    <x v="82"/>
    <x v="227"/>
    <x v="45"/>
    <x v="262"/>
    <x v="65"/>
    <x v="266"/>
    <x v="4"/>
  </r>
  <r>
    <x v="0"/>
    <x v="26"/>
    <x v="26"/>
    <x v="2"/>
    <x v="2"/>
    <x v="2"/>
    <x v="2"/>
    <x v="56"/>
    <x v="214"/>
    <x v="159"/>
    <x v="2"/>
    <x v="78"/>
    <x v="254"/>
    <x v="4"/>
  </r>
  <r>
    <x v="0"/>
    <x v="26"/>
    <x v="26"/>
    <x v="53"/>
    <x v="53"/>
    <x v="53"/>
    <x v="3"/>
    <x v="130"/>
    <x v="140"/>
    <x v="128"/>
    <x v="270"/>
    <x v="119"/>
    <x v="233"/>
    <x v="4"/>
  </r>
  <r>
    <x v="0"/>
    <x v="26"/>
    <x v="26"/>
    <x v="5"/>
    <x v="5"/>
    <x v="5"/>
    <x v="3"/>
    <x v="130"/>
    <x v="140"/>
    <x v="183"/>
    <x v="338"/>
    <x v="74"/>
    <x v="56"/>
    <x v="4"/>
  </r>
  <r>
    <x v="0"/>
    <x v="26"/>
    <x v="26"/>
    <x v="10"/>
    <x v="10"/>
    <x v="10"/>
    <x v="5"/>
    <x v="125"/>
    <x v="7"/>
    <x v="117"/>
    <x v="339"/>
    <x v="63"/>
    <x v="250"/>
    <x v="4"/>
  </r>
  <r>
    <x v="0"/>
    <x v="26"/>
    <x v="26"/>
    <x v="7"/>
    <x v="7"/>
    <x v="7"/>
    <x v="6"/>
    <x v="126"/>
    <x v="193"/>
    <x v="51"/>
    <x v="340"/>
    <x v="54"/>
    <x v="57"/>
    <x v="4"/>
  </r>
  <r>
    <x v="0"/>
    <x v="26"/>
    <x v="26"/>
    <x v="8"/>
    <x v="8"/>
    <x v="8"/>
    <x v="7"/>
    <x v="136"/>
    <x v="58"/>
    <x v="105"/>
    <x v="341"/>
    <x v="122"/>
    <x v="94"/>
    <x v="4"/>
  </r>
  <r>
    <x v="0"/>
    <x v="26"/>
    <x v="26"/>
    <x v="50"/>
    <x v="50"/>
    <x v="50"/>
    <x v="8"/>
    <x v="133"/>
    <x v="110"/>
    <x v="77"/>
    <x v="342"/>
    <x v="119"/>
    <x v="233"/>
    <x v="4"/>
  </r>
  <r>
    <x v="0"/>
    <x v="26"/>
    <x v="26"/>
    <x v="6"/>
    <x v="6"/>
    <x v="6"/>
    <x v="8"/>
    <x v="133"/>
    <x v="110"/>
    <x v="108"/>
    <x v="20"/>
    <x v="154"/>
    <x v="267"/>
    <x v="4"/>
  </r>
  <r>
    <x v="0"/>
    <x v="26"/>
    <x v="26"/>
    <x v="11"/>
    <x v="11"/>
    <x v="11"/>
    <x v="10"/>
    <x v="134"/>
    <x v="175"/>
    <x v="74"/>
    <x v="118"/>
    <x v="77"/>
    <x v="268"/>
    <x v="4"/>
  </r>
  <r>
    <x v="0"/>
    <x v="26"/>
    <x v="26"/>
    <x v="45"/>
    <x v="45"/>
    <x v="45"/>
    <x v="10"/>
    <x v="134"/>
    <x v="175"/>
    <x v="101"/>
    <x v="214"/>
    <x v="80"/>
    <x v="269"/>
    <x v="4"/>
  </r>
  <r>
    <x v="0"/>
    <x v="26"/>
    <x v="26"/>
    <x v="36"/>
    <x v="36"/>
    <x v="36"/>
    <x v="12"/>
    <x v="208"/>
    <x v="188"/>
    <x v="134"/>
    <x v="279"/>
    <x v="54"/>
    <x v="57"/>
    <x v="4"/>
  </r>
  <r>
    <x v="0"/>
    <x v="26"/>
    <x v="26"/>
    <x v="12"/>
    <x v="12"/>
    <x v="12"/>
    <x v="13"/>
    <x v="137"/>
    <x v="122"/>
    <x v="88"/>
    <x v="343"/>
    <x v="56"/>
    <x v="129"/>
    <x v="4"/>
  </r>
  <r>
    <x v="0"/>
    <x v="26"/>
    <x v="26"/>
    <x v="16"/>
    <x v="16"/>
    <x v="16"/>
    <x v="13"/>
    <x v="137"/>
    <x v="122"/>
    <x v="128"/>
    <x v="270"/>
    <x v="124"/>
    <x v="270"/>
    <x v="4"/>
  </r>
  <r>
    <x v="0"/>
    <x v="26"/>
    <x v="26"/>
    <x v="33"/>
    <x v="33"/>
    <x v="33"/>
    <x v="15"/>
    <x v="139"/>
    <x v="47"/>
    <x v="68"/>
    <x v="181"/>
    <x v="63"/>
    <x v="250"/>
    <x v="4"/>
  </r>
  <r>
    <x v="0"/>
    <x v="26"/>
    <x v="26"/>
    <x v="44"/>
    <x v="44"/>
    <x v="44"/>
    <x v="16"/>
    <x v="140"/>
    <x v="123"/>
    <x v="81"/>
    <x v="310"/>
    <x v="119"/>
    <x v="233"/>
    <x v="4"/>
  </r>
  <r>
    <x v="0"/>
    <x v="26"/>
    <x v="26"/>
    <x v="9"/>
    <x v="9"/>
    <x v="9"/>
    <x v="17"/>
    <x v="141"/>
    <x v="63"/>
    <x v="53"/>
    <x v="170"/>
    <x v="119"/>
    <x v="233"/>
    <x v="4"/>
  </r>
  <r>
    <x v="0"/>
    <x v="26"/>
    <x v="26"/>
    <x v="17"/>
    <x v="17"/>
    <x v="17"/>
    <x v="18"/>
    <x v="209"/>
    <x v="162"/>
    <x v="89"/>
    <x v="301"/>
    <x v="74"/>
    <x v="56"/>
    <x v="4"/>
  </r>
  <r>
    <x v="0"/>
    <x v="26"/>
    <x v="26"/>
    <x v="3"/>
    <x v="3"/>
    <x v="3"/>
    <x v="18"/>
    <x v="209"/>
    <x v="162"/>
    <x v="43"/>
    <x v="344"/>
    <x v="121"/>
    <x v="66"/>
    <x v="4"/>
  </r>
  <r>
    <x v="0"/>
    <x v="27"/>
    <x v="27"/>
    <x v="0"/>
    <x v="0"/>
    <x v="0"/>
    <x v="0"/>
    <x v="144"/>
    <x v="228"/>
    <x v="120"/>
    <x v="345"/>
    <x v="109"/>
    <x v="271"/>
    <x v="4"/>
  </r>
  <r>
    <x v="0"/>
    <x v="27"/>
    <x v="27"/>
    <x v="1"/>
    <x v="1"/>
    <x v="1"/>
    <x v="1"/>
    <x v="177"/>
    <x v="229"/>
    <x v="184"/>
    <x v="346"/>
    <x v="69"/>
    <x v="8"/>
    <x v="4"/>
  </r>
  <r>
    <x v="0"/>
    <x v="27"/>
    <x v="27"/>
    <x v="2"/>
    <x v="2"/>
    <x v="2"/>
    <x v="2"/>
    <x v="62"/>
    <x v="230"/>
    <x v="148"/>
    <x v="139"/>
    <x v="80"/>
    <x v="263"/>
    <x v="1"/>
  </r>
  <r>
    <x v="0"/>
    <x v="27"/>
    <x v="27"/>
    <x v="6"/>
    <x v="6"/>
    <x v="6"/>
    <x v="3"/>
    <x v="63"/>
    <x v="105"/>
    <x v="136"/>
    <x v="347"/>
    <x v="122"/>
    <x v="260"/>
    <x v="4"/>
  </r>
  <r>
    <x v="0"/>
    <x v="27"/>
    <x v="27"/>
    <x v="7"/>
    <x v="7"/>
    <x v="7"/>
    <x v="4"/>
    <x v="65"/>
    <x v="231"/>
    <x v="124"/>
    <x v="296"/>
    <x v="64"/>
    <x v="258"/>
    <x v="4"/>
  </r>
  <r>
    <x v="0"/>
    <x v="27"/>
    <x v="27"/>
    <x v="5"/>
    <x v="5"/>
    <x v="5"/>
    <x v="5"/>
    <x v="92"/>
    <x v="232"/>
    <x v="120"/>
    <x v="345"/>
    <x v="124"/>
    <x v="159"/>
    <x v="4"/>
  </r>
  <r>
    <x v="0"/>
    <x v="27"/>
    <x v="27"/>
    <x v="4"/>
    <x v="4"/>
    <x v="4"/>
    <x v="6"/>
    <x v="150"/>
    <x v="172"/>
    <x v="63"/>
    <x v="348"/>
    <x v="97"/>
    <x v="190"/>
    <x v="4"/>
  </r>
  <r>
    <x v="0"/>
    <x v="27"/>
    <x v="27"/>
    <x v="20"/>
    <x v="20"/>
    <x v="20"/>
    <x v="7"/>
    <x v="68"/>
    <x v="81"/>
    <x v="159"/>
    <x v="349"/>
    <x v="122"/>
    <x v="260"/>
    <x v="4"/>
  </r>
  <r>
    <x v="0"/>
    <x v="27"/>
    <x v="27"/>
    <x v="9"/>
    <x v="9"/>
    <x v="9"/>
    <x v="8"/>
    <x v="83"/>
    <x v="220"/>
    <x v="116"/>
    <x v="244"/>
    <x v="57"/>
    <x v="272"/>
    <x v="4"/>
  </r>
  <r>
    <x v="0"/>
    <x v="27"/>
    <x v="27"/>
    <x v="8"/>
    <x v="8"/>
    <x v="8"/>
    <x v="9"/>
    <x v="128"/>
    <x v="70"/>
    <x v="117"/>
    <x v="350"/>
    <x v="61"/>
    <x v="273"/>
    <x v="4"/>
  </r>
  <r>
    <x v="0"/>
    <x v="27"/>
    <x v="27"/>
    <x v="33"/>
    <x v="33"/>
    <x v="33"/>
    <x v="10"/>
    <x v="155"/>
    <x v="110"/>
    <x v="68"/>
    <x v="351"/>
    <x v="94"/>
    <x v="224"/>
    <x v="4"/>
  </r>
  <r>
    <x v="0"/>
    <x v="27"/>
    <x v="27"/>
    <x v="3"/>
    <x v="3"/>
    <x v="3"/>
    <x v="11"/>
    <x v="71"/>
    <x v="59"/>
    <x v="67"/>
    <x v="126"/>
    <x v="74"/>
    <x v="31"/>
    <x v="4"/>
  </r>
  <r>
    <x v="0"/>
    <x v="27"/>
    <x v="27"/>
    <x v="10"/>
    <x v="10"/>
    <x v="10"/>
    <x v="12"/>
    <x v="200"/>
    <x v="141"/>
    <x v="32"/>
    <x v="352"/>
    <x v="47"/>
    <x v="274"/>
    <x v="4"/>
  </r>
  <r>
    <x v="0"/>
    <x v="27"/>
    <x v="27"/>
    <x v="45"/>
    <x v="45"/>
    <x v="45"/>
    <x v="13"/>
    <x v="152"/>
    <x v="97"/>
    <x v="76"/>
    <x v="353"/>
    <x v="98"/>
    <x v="275"/>
    <x v="4"/>
  </r>
  <r>
    <x v="0"/>
    <x v="27"/>
    <x v="27"/>
    <x v="50"/>
    <x v="50"/>
    <x v="50"/>
    <x v="14"/>
    <x v="130"/>
    <x v="98"/>
    <x v="56"/>
    <x v="354"/>
    <x v="75"/>
    <x v="264"/>
    <x v="4"/>
  </r>
  <r>
    <x v="0"/>
    <x v="27"/>
    <x v="27"/>
    <x v="15"/>
    <x v="15"/>
    <x v="15"/>
    <x v="15"/>
    <x v="131"/>
    <x v="27"/>
    <x v="56"/>
    <x v="354"/>
    <x v="108"/>
    <x v="32"/>
    <x v="4"/>
  </r>
  <r>
    <x v="0"/>
    <x v="27"/>
    <x v="27"/>
    <x v="24"/>
    <x v="24"/>
    <x v="24"/>
    <x v="16"/>
    <x v="124"/>
    <x v="28"/>
    <x v="88"/>
    <x v="355"/>
    <x v="65"/>
    <x v="105"/>
    <x v="4"/>
  </r>
  <r>
    <x v="0"/>
    <x v="27"/>
    <x v="27"/>
    <x v="47"/>
    <x v="47"/>
    <x v="47"/>
    <x v="17"/>
    <x v="125"/>
    <x v="74"/>
    <x v="101"/>
    <x v="356"/>
    <x v="84"/>
    <x v="216"/>
    <x v="4"/>
  </r>
  <r>
    <x v="0"/>
    <x v="27"/>
    <x v="27"/>
    <x v="12"/>
    <x v="12"/>
    <x v="12"/>
    <x v="18"/>
    <x v="132"/>
    <x v="75"/>
    <x v="58"/>
    <x v="357"/>
    <x v="94"/>
    <x v="224"/>
    <x v="4"/>
  </r>
  <r>
    <x v="0"/>
    <x v="27"/>
    <x v="27"/>
    <x v="11"/>
    <x v="11"/>
    <x v="11"/>
    <x v="19"/>
    <x v="126"/>
    <x v="100"/>
    <x v="95"/>
    <x v="11"/>
    <x v="61"/>
    <x v="273"/>
    <x v="4"/>
  </r>
  <r>
    <x v="0"/>
    <x v="27"/>
    <x v="27"/>
    <x v="18"/>
    <x v="18"/>
    <x v="18"/>
    <x v="19"/>
    <x v="126"/>
    <x v="100"/>
    <x v="76"/>
    <x v="353"/>
    <x v="69"/>
    <x v="8"/>
    <x v="4"/>
  </r>
  <r>
    <x v="0"/>
    <x v="27"/>
    <x v="27"/>
    <x v="59"/>
    <x v="59"/>
    <x v="59"/>
    <x v="19"/>
    <x v="126"/>
    <x v="100"/>
    <x v="81"/>
    <x v="110"/>
    <x v="88"/>
    <x v="154"/>
    <x v="4"/>
  </r>
  <r>
    <x v="0"/>
    <x v="28"/>
    <x v="28"/>
    <x v="1"/>
    <x v="1"/>
    <x v="1"/>
    <x v="0"/>
    <x v="212"/>
    <x v="233"/>
    <x v="185"/>
    <x v="358"/>
    <x v="73"/>
    <x v="47"/>
    <x v="4"/>
  </r>
  <r>
    <x v="0"/>
    <x v="28"/>
    <x v="28"/>
    <x v="0"/>
    <x v="0"/>
    <x v="0"/>
    <x v="1"/>
    <x v="117"/>
    <x v="234"/>
    <x v="186"/>
    <x v="139"/>
    <x v="155"/>
    <x v="276"/>
    <x v="4"/>
  </r>
  <r>
    <x v="0"/>
    <x v="28"/>
    <x v="28"/>
    <x v="6"/>
    <x v="6"/>
    <x v="6"/>
    <x v="2"/>
    <x v="180"/>
    <x v="235"/>
    <x v="187"/>
    <x v="359"/>
    <x v="78"/>
    <x v="277"/>
    <x v="4"/>
  </r>
  <r>
    <x v="0"/>
    <x v="28"/>
    <x v="28"/>
    <x v="2"/>
    <x v="2"/>
    <x v="2"/>
    <x v="3"/>
    <x v="213"/>
    <x v="2"/>
    <x v="188"/>
    <x v="65"/>
    <x v="126"/>
    <x v="148"/>
    <x v="5"/>
  </r>
  <r>
    <x v="0"/>
    <x v="28"/>
    <x v="28"/>
    <x v="4"/>
    <x v="4"/>
    <x v="4"/>
    <x v="4"/>
    <x v="214"/>
    <x v="20"/>
    <x v="189"/>
    <x v="360"/>
    <x v="128"/>
    <x v="195"/>
    <x v="4"/>
  </r>
  <r>
    <x v="0"/>
    <x v="28"/>
    <x v="28"/>
    <x v="3"/>
    <x v="3"/>
    <x v="3"/>
    <x v="5"/>
    <x v="110"/>
    <x v="130"/>
    <x v="190"/>
    <x v="361"/>
    <x v="97"/>
    <x v="100"/>
    <x v="4"/>
  </r>
  <r>
    <x v="0"/>
    <x v="28"/>
    <x v="28"/>
    <x v="5"/>
    <x v="5"/>
    <x v="5"/>
    <x v="6"/>
    <x v="85"/>
    <x v="236"/>
    <x v="41"/>
    <x v="154"/>
    <x v="97"/>
    <x v="100"/>
    <x v="4"/>
  </r>
  <r>
    <x v="0"/>
    <x v="28"/>
    <x v="28"/>
    <x v="7"/>
    <x v="7"/>
    <x v="7"/>
    <x v="7"/>
    <x v="42"/>
    <x v="237"/>
    <x v="191"/>
    <x v="362"/>
    <x v="47"/>
    <x v="260"/>
    <x v="4"/>
  </r>
  <r>
    <x v="0"/>
    <x v="28"/>
    <x v="28"/>
    <x v="8"/>
    <x v="8"/>
    <x v="8"/>
    <x v="8"/>
    <x v="215"/>
    <x v="56"/>
    <x v="113"/>
    <x v="363"/>
    <x v="28"/>
    <x v="278"/>
    <x v="4"/>
  </r>
  <r>
    <x v="0"/>
    <x v="28"/>
    <x v="28"/>
    <x v="53"/>
    <x v="53"/>
    <x v="53"/>
    <x v="9"/>
    <x v="144"/>
    <x v="148"/>
    <x v="159"/>
    <x v="36"/>
    <x v="151"/>
    <x v="177"/>
    <x v="4"/>
  </r>
  <r>
    <x v="0"/>
    <x v="28"/>
    <x v="28"/>
    <x v="11"/>
    <x v="11"/>
    <x v="11"/>
    <x v="10"/>
    <x v="145"/>
    <x v="175"/>
    <x v="165"/>
    <x v="140"/>
    <x v="49"/>
    <x v="43"/>
    <x v="4"/>
  </r>
  <r>
    <x v="0"/>
    <x v="28"/>
    <x v="28"/>
    <x v="12"/>
    <x v="12"/>
    <x v="12"/>
    <x v="11"/>
    <x v="216"/>
    <x v="83"/>
    <x v="68"/>
    <x v="83"/>
    <x v="147"/>
    <x v="129"/>
    <x v="4"/>
  </r>
  <r>
    <x v="0"/>
    <x v="28"/>
    <x v="28"/>
    <x v="14"/>
    <x v="14"/>
    <x v="14"/>
    <x v="12"/>
    <x v="58"/>
    <x v="9"/>
    <x v="105"/>
    <x v="120"/>
    <x v="79"/>
    <x v="141"/>
    <x v="4"/>
  </r>
  <r>
    <x v="0"/>
    <x v="28"/>
    <x v="28"/>
    <x v="13"/>
    <x v="13"/>
    <x v="13"/>
    <x v="13"/>
    <x v="88"/>
    <x v="61"/>
    <x v="128"/>
    <x v="158"/>
    <x v="50"/>
    <x v="128"/>
    <x v="4"/>
  </r>
  <r>
    <x v="0"/>
    <x v="28"/>
    <x v="28"/>
    <x v="9"/>
    <x v="9"/>
    <x v="9"/>
    <x v="14"/>
    <x v="156"/>
    <x v="72"/>
    <x v="74"/>
    <x v="114"/>
    <x v="156"/>
    <x v="279"/>
    <x v="4"/>
  </r>
  <r>
    <x v="0"/>
    <x v="28"/>
    <x v="28"/>
    <x v="33"/>
    <x v="33"/>
    <x v="33"/>
    <x v="15"/>
    <x v="46"/>
    <x v="85"/>
    <x v="54"/>
    <x v="364"/>
    <x v="125"/>
    <x v="90"/>
    <x v="4"/>
  </r>
  <r>
    <x v="0"/>
    <x v="28"/>
    <x v="28"/>
    <x v="15"/>
    <x v="15"/>
    <x v="15"/>
    <x v="16"/>
    <x v="47"/>
    <x v="27"/>
    <x v="137"/>
    <x v="173"/>
    <x v="71"/>
    <x v="280"/>
    <x v="4"/>
  </r>
  <r>
    <x v="0"/>
    <x v="28"/>
    <x v="28"/>
    <x v="10"/>
    <x v="10"/>
    <x v="10"/>
    <x v="16"/>
    <x v="47"/>
    <x v="27"/>
    <x v="124"/>
    <x v="87"/>
    <x v="120"/>
    <x v="281"/>
    <x v="4"/>
  </r>
  <r>
    <x v="0"/>
    <x v="28"/>
    <x v="28"/>
    <x v="16"/>
    <x v="16"/>
    <x v="16"/>
    <x v="16"/>
    <x v="47"/>
    <x v="27"/>
    <x v="47"/>
    <x v="318"/>
    <x v="48"/>
    <x v="274"/>
    <x v="4"/>
  </r>
  <r>
    <x v="0"/>
    <x v="28"/>
    <x v="28"/>
    <x v="19"/>
    <x v="19"/>
    <x v="19"/>
    <x v="19"/>
    <x v="59"/>
    <x v="48"/>
    <x v="80"/>
    <x v="365"/>
    <x v="85"/>
    <x v="83"/>
    <x v="1"/>
  </r>
  <r>
    <x v="0"/>
    <x v="28"/>
    <x v="28"/>
    <x v="36"/>
    <x v="36"/>
    <x v="36"/>
    <x v="19"/>
    <x v="59"/>
    <x v="48"/>
    <x v="148"/>
    <x v="366"/>
    <x v="59"/>
    <x v="282"/>
    <x v="4"/>
  </r>
  <r>
    <x v="0"/>
    <x v="29"/>
    <x v="29"/>
    <x v="0"/>
    <x v="0"/>
    <x v="0"/>
    <x v="0"/>
    <x v="217"/>
    <x v="238"/>
    <x v="157"/>
    <x v="367"/>
    <x v="100"/>
    <x v="283"/>
    <x v="4"/>
  </r>
  <r>
    <x v="0"/>
    <x v="29"/>
    <x v="29"/>
    <x v="1"/>
    <x v="1"/>
    <x v="1"/>
    <x v="1"/>
    <x v="110"/>
    <x v="239"/>
    <x v="192"/>
    <x v="312"/>
    <x v="69"/>
    <x v="280"/>
    <x v="4"/>
  </r>
  <r>
    <x v="0"/>
    <x v="29"/>
    <x v="29"/>
    <x v="2"/>
    <x v="2"/>
    <x v="2"/>
    <x v="2"/>
    <x v="159"/>
    <x v="88"/>
    <x v="168"/>
    <x v="368"/>
    <x v="84"/>
    <x v="20"/>
    <x v="4"/>
  </r>
  <r>
    <x v="0"/>
    <x v="29"/>
    <x v="29"/>
    <x v="7"/>
    <x v="7"/>
    <x v="7"/>
    <x v="3"/>
    <x v="79"/>
    <x v="3"/>
    <x v="193"/>
    <x v="369"/>
    <x v="74"/>
    <x v="284"/>
    <x v="4"/>
  </r>
  <r>
    <x v="0"/>
    <x v="29"/>
    <x v="29"/>
    <x v="5"/>
    <x v="5"/>
    <x v="5"/>
    <x v="4"/>
    <x v="149"/>
    <x v="240"/>
    <x v="97"/>
    <x v="116"/>
    <x v="122"/>
    <x v="100"/>
    <x v="4"/>
  </r>
  <r>
    <x v="0"/>
    <x v="29"/>
    <x v="29"/>
    <x v="8"/>
    <x v="8"/>
    <x v="8"/>
    <x v="5"/>
    <x v="99"/>
    <x v="21"/>
    <x v="51"/>
    <x v="230"/>
    <x v="57"/>
    <x v="285"/>
    <x v="4"/>
  </r>
  <r>
    <x v="0"/>
    <x v="29"/>
    <x v="29"/>
    <x v="6"/>
    <x v="6"/>
    <x v="6"/>
    <x v="6"/>
    <x v="65"/>
    <x v="241"/>
    <x v="59"/>
    <x v="370"/>
    <x v="121"/>
    <x v="286"/>
    <x v="4"/>
  </r>
  <r>
    <x v="0"/>
    <x v="29"/>
    <x v="29"/>
    <x v="4"/>
    <x v="4"/>
    <x v="4"/>
    <x v="7"/>
    <x v="165"/>
    <x v="81"/>
    <x v="159"/>
    <x v="371"/>
    <x v="69"/>
    <x v="280"/>
    <x v="4"/>
  </r>
  <r>
    <x v="0"/>
    <x v="29"/>
    <x v="29"/>
    <x v="3"/>
    <x v="3"/>
    <x v="3"/>
    <x v="8"/>
    <x v="161"/>
    <x v="132"/>
    <x v="120"/>
    <x v="52"/>
    <x v="78"/>
    <x v="27"/>
    <x v="4"/>
  </r>
  <r>
    <x v="0"/>
    <x v="29"/>
    <x v="29"/>
    <x v="9"/>
    <x v="9"/>
    <x v="9"/>
    <x v="9"/>
    <x v="150"/>
    <x v="8"/>
    <x v="56"/>
    <x v="191"/>
    <x v="72"/>
    <x v="255"/>
    <x v="4"/>
  </r>
  <r>
    <x v="0"/>
    <x v="29"/>
    <x v="29"/>
    <x v="53"/>
    <x v="53"/>
    <x v="53"/>
    <x v="10"/>
    <x v="54"/>
    <x v="94"/>
    <x v="32"/>
    <x v="335"/>
    <x v="85"/>
    <x v="142"/>
    <x v="4"/>
  </r>
  <r>
    <x v="0"/>
    <x v="29"/>
    <x v="29"/>
    <x v="26"/>
    <x v="26"/>
    <x v="26"/>
    <x v="11"/>
    <x v="83"/>
    <x v="96"/>
    <x v="117"/>
    <x v="174"/>
    <x v="108"/>
    <x v="155"/>
    <x v="4"/>
  </r>
  <r>
    <x v="0"/>
    <x v="29"/>
    <x v="29"/>
    <x v="19"/>
    <x v="19"/>
    <x v="19"/>
    <x v="12"/>
    <x v="69"/>
    <x v="84"/>
    <x v="126"/>
    <x v="134"/>
    <x v="64"/>
    <x v="125"/>
    <x v="4"/>
  </r>
  <r>
    <x v="0"/>
    <x v="29"/>
    <x v="29"/>
    <x v="11"/>
    <x v="11"/>
    <x v="11"/>
    <x v="13"/>
    <x v="154"/>
    <x v="133"/>
    <x v="74"/>
    <x v="13"/>
    <x v="131"/>
    <x v="247"/>
    <x v="4"/>
  </r>
  <r>
    <x v="0"/>
    <x v="29"/>
    <x v="29"/>
    <x v="33"/>
    <x v="33"/>
    <x v="33"/>
    <x v="13"/>
    <x v="154"/>
    <x v="133"/>
    <x v="78"/>
    <x v="51"/>
    <x v="47"/>
    <x v="84"/>
    <x v="4"/>
  </r>
  <r>
    <x v="0"/>
    <x v="29"/>
    <x v="29"/>
    <x v="10"/>
    <x v="10"/>
    <x v="10"/>
    <x v="13"/>
    <x v="154"/>
    <x v="133"/>
    <x v="65"/>
    <x v="10"/>
    <x v="64"/>
    <x v="125"/>
    <x v="4"/>
  </r>
  <r>
    <x v="0"/>
    <x v="29"/>
    <x v="29"/>
    <x v="50"/>
    <x v="50"/>
    <x v="50"/>
    <x v="16"/>
    <x v="70"/>
    <x v="48"/>
    <x v="143"/>
    <x v="208"/>
    <x v="89"/>
    <x v="287"/>
    <x v="4"/>
  </r>
  <r>
    <x v="0"/>
    <x v="29"/>
    <x v="29"/>
    <x v="45"/>
    <x v="45"/>
    <x v="45"/>
    <x v="17"/>
    <x v="155"/>
    <x v="28"/>
    <x v="74"/>
    <x v="13"/>
    <x v="123"/>
    <x v="161"/>
    <x v="4"/>
  </r>
  <r>
    <x v="0"/>
    <x v="29"/>
    <x v="29"/>
    <x v="18"/>
    <x v="18"/>
    <x v="18"/>
    <x v="18"/>
    <x v="121"/>
    <x v="87"/>
    <x v="74"/>
    <x v="13"/>
    <x v="52"/>
    <x v="167"/>
    <x v="4"/>
  </r>
  <r>
    <x v="0"/>
    <x v="29"/>
    <x v="29"/>
    <x v="36"/>
    <x v="36"/>
    <x v="36"/>
    <x v="19"/>
    <x v="71"/>
    <x v="242"/>
    <x v="123"/>
    <x v="372"/>
    <x v="97"/>
    <x v="16"/>
    <x v="4"/>
  </r>
  <r>
    <x v="0"/>
    <x v="30"/>
    <x v="30"/>
    <x v="1"/>
    <x v="1"/>
    <x v="1"/>
    <x v="0"/>
    <x v="218"/>
    <x v="243"/>
    <x v="194"/>
    <x v="373"/>
    <x v="97"/>
    <x v="2"/>
    <x v="1"/>
  </r>
  <r>
    <x v="0"/>
    <x v="30"/>
    <x v="30"/>
    <x v="53"/>
    <x v="53"/>
    <x v="53"/>
    <x v="1"/>
    <x v="178"/>
    <x v="170"/>
    <x v="148"/>
    <x v="371"/>
    <x v="133"/>
    <x v="173"/>
    <x v="4"/>
  </r>
  <r>
    <x v="0"/>
    <x v="30"/>
    <x v="30"/>
    <x v="2"/>
    <x v="2"/>
    <x v="2"/>
    <x v="2"/>
    <x v="146"/>
    <x v="171"/>
    <x v="144"/>
    <x v="141"/>
    <x v="68"/>
    <x v="101"/>
    <x v="1"/>
  </r>
  <r>
    <x v="0"/>
    <x v="30"/>
    <x v="30"/>
    <x v="6"/>
    <x v="6"/>
    <x v="6"/>
    <x v="3"/>
    <x v="160"/>
    <x v="232"/>
    <x v="140"/>
    <x v="374"/>
    <x v="81"/>
    <x v="66"/>
    <x v="4"/>
  </r>
  <r>
    <x v="0"/>
    <x v="30"/>
    <x v="30"/>
    <x v="5"/>
    <x v="5"/>
    <x v="5"/>
    <x v="4"/>
    <x v="48"/>
    <x v="244"/>
    <x v="146"/>
    <x v="375"/>
    <x v="54"/>
    <x v="288"/>
    <x v="4"/>
  </r>
  <r>
    <x v="0"/>
    <x v="30"/>
    <x v="30"/>
    <x v="8"/>
    <x v="8"/>
    <x v="8"/>
    <x v="5"/>
    <x v="119"/>
    <x v="6"/>
    <x v="57"/>
    <x v="376"/>
    <x v="65"/>
    <x v="166"/>
    <x v="4"/>
  </r>
  <r>
    <x v="0"/>
    <x v="30"/>
    <x v="30"/>
    <x v="3"/>
    <x v="3"/>
    <x v="3"/>
    <x v="6"/>
    <x v="99"/>
    <x v="245"/>
    <x v="158"/>
    <x v="100"/>
    <x v="118"/>
    <x v="3"/>
    <x v="4"/>
  </r>
  <r>
    <x v="0"/>
    <x v="30"/>
    <x v="30"/>
    <x v="0"/>
    <x v="0"/>
    <x v="0"/>
    <x v="7"/>
    <x v="101"/>
    <x v="119"/>
    <x v="67"/>
    <x v="377"/>
    <x v="52"/>
    <x v="88"/>
    <x v="4"/>
  </r>
  <r>
    <x v="0"/>
    <x v="30"/>
    <x v="30"/>
    <x v="10"/>
    <x v="10"/>
    <x v="10"/>
    <x v="8"/>
    <x v="50"/>
    <x v="194"/>
    <x v="159"/>
    <x v="144"/>
    <x v="44"/>
    <x v="28"/>
    <x v="4"/>
  </r>
  <r>
    <x v="0"/>
    <x v="30"/>
    <x v="30"/>
    <x v="14"/>
    <x v="14"/>
    <x v="14"/>
    <x v="9"/>
    <x v="199"/>
    <x v="121"/>
    <x v="128"/>
    <x v="197"/>
    <x v="73"/>
    <x v="237"/>
    <x v="4"/>
  </r>
  <r>
    <x v="0"/>
    <x v="30"/>
    <x v="30"/>
    <x v="11"/>
    <x v="11"/>
    <x v="11"/>
    <x v="9"/>
    <x v="199"/>
    <x v="121"/>
    <x v="32"/>
    <x v="245"/>
    <x v="48"/>
    <x v="227"/>
    <x v="4"/>
  </r>
  <r>
    <x v="0"/>
    <x v="30"/>
    <x v="30"/>
    <x v="33"/>
    <x v="33"/>
    <x v="33"/>
    <x v="11"/>
    <x v="161"/>
    <x v="71"/>
    <x v="137"/>
    <x v="87"/>
    <x v="77"/>
    <x v="144"/>
    <x v="4"/>
  </r>
  <r>
    <x v="0"/>
    <x v="30"/>
    <x v="30"/>
    <x v="16"/>
    <x v="16"/>
    <x v="16"/>
    <x v="12"/>
    <x v="66"/>
    <x v="61"/>
    <x v="122"/>
    <x v="260"/>
    <x v="97"/>
    <x v="2"/>
    <x v="4"/>
  </r>
  <r>
    <x v="0"/>
    <x v="30"/>
    <x v="30"/>
    <x v="12"/>
    <x v="12"/>
    <x v="12"/>
    <x v="13"/>
    <x v="150"/>
    <x v="11"/>
    <x v="68"/>
    <x v="167"/>
    <x v="132"/>
    <x v="201"/>
    <x v="4"/>
  </r>
  <r>
    <x v="0"/>
    <x v="30"/>
    <x v="30"/>
    <x v="4"/>
    <x v="4"/>
    <x v="4"/>
    <x v="13"/>
    <x v="150"/>
    <x v="11"/>
    <x v="122"/>
    <x v="260"/>
    <x v="90"/>
    <x v="87"/>
    <x v="4"/>
  </r>
  <r>
    <x v="0"/>
    <x v="30"/>
    <x v="30"/>
    <x v="17"/>
    <x v="17"/>
    <x v="17"/>
    <x v="15"/>
    <x v="67"/>
    <x v="98"/>
    <x v="134"/>
    <x v="101"/>
    <x v="98"/>
    <x v="224"/>
    <x v="4"/>
  </r>
  <r>
    <x v="0"/>
    <x v="30"/>
    <x v="30"/>
    <x v="58"/>
    <x v="58"/>
    <x v="58"/>
    <x v="16"/>
    <x v="55"/>
    <x v="123"/>
    <x v="115"/>
    <x v="249"/>
    <x v="51"/>
    <x v="198"/>
    <x v="4"/>
  </r>
  <r>
    <x v="0"/>
    <x v="30"/>
    <x v="30"/>
    <x v="7"/>
    <x v="7"/>
    <x v="7"/>
    <x v="17"/>
    <x v="56"/>
    <x v="86"/>
    <x v="64"/>
    <x v="378"/>
    <x v="74"/>
    <x v="31"/>
    <x v="4"/>
  </r>
  <r>
    <x v="0"/>
    <x v="30"/>
    <x v="30"/>
    <x v="13"/>
    <x v="13"/>
    <x v="13"/>
    <x v="18"/>
    <x v="69"/>
    <x v="75"/>
    <x v="176"/>
    <x v="379"/>
    <x v="65"/>
    <x v="166"/>
    <x v="4"/>
  </r>
  <r>
    <x v="0"/>
    <x v="30"/>
    <x v="30"/>
    <x v="15"/>
    <x v="15"/>
    <x v="15"/>
    <x v="19"/>
    <x v="120"/>
    <x v="30"/>
    <x v="165"/>
    <x v="380"/>
    <x v="56"/>
    <x v="235"/>
    <x v="4"/>
  </r>
  <r>
    <x v="0"/>
    <x v="30"/>
    <x v="30"/>
    <x v="19"/>
    <x v="19"/>
    <x v="19"/>
    <x v="19"/>
    <x v="120"/>
    <x v="30"/>
    <x v="65"/>
    <x v="381"/>
    <x v="90"/>
    <x v="87"/>
    <x v="4"/>
  </r>
  <r>
    <x v="0"/>
    <x v="31"/>
    <x v="31"/>
    <x v="0"/>
    <x v="0"/>
    <x v="0"/>
    <x v="0"/>
    <x v="119"/>
    <x v="37"/>
    <x v="64"/>
    <x v="382"/>
    <x v="132"/>
    <x v="289"/>
    <x v="4"/>
  </r>
  <r>
    <x v="0"/>
    <x v="31"/>
    <x v="31"/>
    <x v="1"/>
    <x v="1"/>
    <x v="1"/>
    <x v="0"/>
    <x v="119"/>
    <x v="37"/>
    <x v="193"/>
    <x v="383"/>
    <x v="122"/>
    <x v="51"/>
    <x v="4"/>
  </r>
  <r>
    <x v="0"/>
    <x v="31"/>
    <x v="31"/>
    <x v="60"/>
    <x v="60"/>
    <x v="60"/>
    <x v="2"/>
    <x v="66"/>
    <x v="215"/>
    <x v="117"/>
    <x v="326"/>
    <x v="52"/>
    <x v="114"/>
    <x v="4"/>
  </r>
  <r>
    <x v="0"/>
    <x v="31"/>
    <x v="31"/>
    <x v="61"/>
    <x v="61"/>
    <x v="61"/>
    <x v="3"/>
    <x v="93"/>
    <x v="246"/>
    <x v="79"/>
    <x v="384"/>
    <x v="61"/>
    <x v="149"/>
    <x v="4"/>
  </r>
  <r>
    <x v="0"/>
    <x v="31"/>
    <x v="31"/>
    <x v="6"/>
    <x v="6"/>
    <x v="6"/>
    <x v="4"/>
    <x v="68"/>
    <x v="91"/>
    <x v="64"/>
    <x v="382"/>
    <x v="51"/>
    <x v="57"/>
    <x v="4"/>
  </r>
  <r>
    <x v="0"/>
    <x v="31"/>
    <x v="31"/>
    <x v="3"/>
    <x v="3"/>
    <x v="3"/>
    <x v="5"/>
    <x v="70"/>
    <x v="42"/>
    <x v="137"/>
    <x v="385"/>
    <x v="54"/>
    <x v="170"/>
    <x v="4"/>
  </r>
  <r>
    <x v="0"/>
    <x v="31"/>
    <x v="31"/>
    <x v="4"/>
    <x v="4"/>
    <x v="4"/>
    <x v="6"/>
    <x v="122"/>
    <x v="241"/>
    <x v="45"/>
    <x v="386"/>
    <x v="90"/>
    <x v="290"/>
    <x v="4"/>
  </r>
  <r>
    <x v="0"/>
    <x v="31"/>
    <x v="31"/>
    <x v="2"/>
    <x v="2"/>
    <x v="2"/>
    <x v="7"/>
    <x v="200"/>
    <x v="220"/>
    <x v="133"/>
    <x v="340"/>
    <x v="63"/>
    <x v="147"/>
    <x v="4"/>
  </r>
  <r>
    <x v="0"/>
    <x v="31"/>
    <x v="31"/>
    <x v="7"/>
    <x v="7"/>
    <x v="7"/>
    <x v="8"/>
    <x v="130"/>
    <x v="109"/>
    <x v="65"/>
    <x v="52"/>
    <x v="121"/>
    <x v="157"/>
    <x v="4"/>
  </r>
  <r>
    <x v="0"/>
    <x v="31"/>
    <x v="31"/>
    <x v="8"/>
    <x v="8"/>
    <x v="8"/>
    <x v="9"/>
    <x v="124"/>
    <x v="121"/>
    <x v="43"/>
    <x v="187"/>
    <x v="97"/>
    <x v="115"/>
    <x v="4"/>
  </r>
  <r>
    <x v="0"/>
    <x v="31"/>
    <x v="31"/>
    <x v="10"/>
    <x v="10"/>
    <x v="10"/>
    <x v="10"/>
    <x v="125"/>
    <x v="188"/>
    <x v="32"/>
    <x v="10"/>
    <x v="64"/>
    <x v="242"/>
    <x v="4"/>
  </r>
  <r>
    <x v="0"/>
    <x v="31"/>
    <x v="31"/>
    <x v="5"/>
    <x v="5"/>
    <x v="5"/>
    <x v="10"/>
    <x v="125"/>
    <x v="188"/>
    <x v="108"/>
    <x v="387"/>
    <x v="54"/>
    <x v="170"/>
    <x v="4"/>
  </r>
  <r>
    <x v="0"/>
    <x v="31"/>
    <x v="31"/>
    <x v="15"/>
    <x v="15"/>
    <x v="15"/>
    <x v="12"/>
    <x v="132"/>
    <x v="122"/>
    <x v="138"/>
    <x v="388"/>
    <x v="64"/>
    <x v="242"/>
    <x v="4"/>
  </r>
  <r>
    <x v="0"/>
    <x v="31"/>
    <x v="31"/>
    <x v="14"/>
    <x v="14"/>
    <x v="14"/>
    <x v="13"/>
    <x v="126"/>
    <x v="26"/>
    <x v="48"/>
    <x v="13"/>
    <x v="75"/>
    <x v="227"/>
    <x v="4"/>
  </r>
  <r>
    <x v="0"/>
    <x v="31"/>
    <x v="31"/>
    <x v="9"/>
    <x v="9"/>
    <x v="9"/>
    <x v="14"/>
    <x v="136"/>
    <x v="96"/>
    <x v="49"/>
    <x v="70"/>
    <x v="59"/>
    <x v="291"/>
    <x v="4"/>
  </r>
  <r>
    <x v="0"/>
    <x v="31"/>
    <x v="31"/>
    <x v="46"/>
    <x v="46"/>
    <x v="46"/>
    <x v="15"/>
    <x v="208"/>
    <x v="123"/>
    <x v="100"/>
    <x v="389"/>
    <x v="68"/>
    <x v="221"/>
    <x v="4"/>
  </r>
  <r>
    <x v="0"/>
    <x v="31"/>
    <x v="31"/>
    <x v="11"/>
    <x v="11"/>
    <x v="11"/>
    <x v="16"/>
    <x v="219"/>
    <x v="12"/>
    <x v="81"/>
    <x v="327"/>
    <x v="84"/>
    <x v="88"/>
    <x v="4"/>
  </r>
  <r>
    <x v="0"/>
    <x v="31"/>
    <x v="31"/>
    <x v="12"/>
    <x v="12"/>
    <x v="12"/>
    <x v="17"/>
    <x v="138"/>
    <x v="100"/>
    <x v="81"/>
    <x v="327"/>
    <x v="56"/>
    <x v="161"/>
    <x v="4"/>
  </r>
  <r>
    <x v="0"/>
    <x v="31"/>
    <x v="31"/>
    <x v="54"/>
    <x v="54"/>
    <x v="54"/>
    <x v="17"/>
    <x v="138"/>
    <x v="100"/>
    <x v="143"/>
    <x v="335"/>
    <x v="64"/>
    <x v="242"/>
    <x v="4"/>
  </r>
  <r>
    <x v="0"/>
    <x v="31"/>
    <x v="31"/>
    <x v="58"/>
    <x v="58"/>
    <x v="58"/>
    <x v="17"/>
    <x v="138"/>
    <x v="100"/>
    <x v="68"/>
    <x v="16"/>
    <x v="124"/>
    <x v="292"/>
    <x v="4"/>
  </r>
  <r>
    <x v="0"/>
    <x v="32"/>
    <x v="32"/>
    <x v="3"/>
    <x v="3"/>
    <x v="3"/>
    <x v="0"/>
    <x v="51"/>
    <x v="247"/>
    <x v="90"/>
    <x v="390"/>
    <x v="99"/>
    <x v="293"/>
    <x v="1"/>
  </r>
  <r>
    <x v="0"/>
    <x v="32"/>
    <x v="32"/>
    <x v="1"/>
    <x v="1"/>
    <x v="1"/>
    <x v="1"/>
    <x v="68"/>
    <x v="248"/>
    <x v="60"/>
    <x v="239"/>
    <x v="63"/>
    <x v="175"/>
    <x v="4"/>
  </r>
  <r>
    <x v="0"/>
    <x v="32"/>
    <x v="32"/>
    <x v="2"/>
    <x v="2"/>
    <x v="2"/>
    <x v="2"/>
    <x v="121"/>
    <x v="249"/>
    <x v="183"/>
    <x v="391"/>
    <x v="99"/>
    <x v="293"/>
    <x v="4"/>
  </r>
  <r>
    <x v="0"/>
    <x v="32"/>
    <x v="32"/>
    <x v="6"/>
    <x v="6"/>
    <x v="6"/>
    <x v="3"/>
    <x v="131"/>
    <x v="146"/>
    <x v="183"/>
    <x v="391"/>
    <x v="81"/>
    <x v="294"/>
    <x v="4"/>
  </r>
  <r>
    <x v="0"/>
    <x v="32"/>
    <x v="32"/>
    <x v="5"/>
    <x v="5"/>
    <x v="5"/>
    <x v="4"/>
    <x v="125"/>
    <x v="250"/>
    <x v="45"/>
    <x v="81"/>
    <x v="74"/>
    <x v="219"/>
    <x v="4"/>
  </r>
  <r>
    <x v="0"/>
    <x v="32"/>
    <x v="32"/>
    <x v="0"/>
    <x v="0"/>
    <x v="0"/>
    <x v="5"/>
    <x v="133"/>
    <x v="251"/>
    <x v="101"/>
    <x v="283"/>
    <x v="47"/>
    <x v="117"/>
    <x v="4"/>
  </r>
  <r>
    <x v="0"/>
    <x v="32"/>
    <x v="32"/>
    <x v="10"/>
    <x v="10"/>
    <x v="10"/>
    <x v="6"/>
    <x v="208"/>
    <x v="241"/>
    <x v="89"/>
    <x v="392"/>
    <x v="64"/>
    <x v="205"/>
    <x v="4"/>
  </r>
  <r>
    <x v="0"/>
    <x v="32"/>
    <x v="32"/>
    <x v="4"/>
    <x v="4"/>
    <x v="4"/>
    <x v="7"/>
    <x v="137"/>
    <x v="252"/>
    <x v="138"/>
    <x v="393"/>
    <x v="78"/>
    <x v="295"/>
    <x v="4"/>
  </r>
  <r>
    <x v="0"/>
    <x v="32"/>
    <x v="32"/>
    <x v="11"/>
    <x v="11"/>
    <x v="11"/>
    <x v="8"/>
    <x v="219"/>
    <x v="220"/>
    <x v="58"/>
    <x v="103"/>
    <x v="44"/>
    <x v="291"/>
    <x v="4"/>
  </r>
  <r>
    <x v="0"/>
    <x v="32"/>
    <x v="32"/>
    <x v="14"/>
    <x v="14"/>
    <x v="14"/>
    <x v="9"/>
    <x v="141"/>
    <x v="9"/>
    <x v="58"/>
    <x v="103"/>
    <x v="47"/>
    <x v="117"/>
    <x v="4"/>
  </r>
  <r>
    <x v="0"/>
    <x v="32"/>
    <x v="32"/>
    <x v="7"/>
    <x v="7"/>
    <x v="7"/>
    <x v="10"/>
    <x v="209"/>
    <x v="46"/>
    <x v="43"/>
    <x v="394"/>
    <x v="121"/>
    <x v="49"/>
    <x v="4"/>
  </r>
  <r>
    <x v="0"/>
    <x v="32"/>
    <x v="32"/>
    <x v="8"/>
    <x v="8"/>
    <x v="8"/>
    <x v="11"/>
    <x v="210"/>
    <x v="85"/>
    <x v="101"/>
    <x v="283"/>
    <x v="118"/>
    <x v="34"/>
    <x v="4"/>
  </r>
  <r>
    <x v="0"/>
    <x v="32"/>
    <x v="32"/>
    <x v="45"/>
    <x v="45"/>
    <x v="45"/>
    <x v="12"/>
    <x v="220"/>
    <x v="28"/>
    <x v="58"/>
    <x v="103"/>
    <x v="70"/>
    <x v="12"/>
    <x v="4"/>
  </r>
  <r>
    <x v="0"/>
    <x v="32"/>
    <x v="32"/>
    <x v="33"/>
    <x v="33"/>
    <x v="33"/>
    <x v="12"/>
    <x v="220"/>
    <x v="28"/>
    <x v="74"/>
    <x v="74"/>
    <x v="63"/>
    <x v="175"/>
    <x v="4"/>
  </r>
  <r>
    <x v="0"/>
    <x v="32"/>
    <x v="32"/>
    <x v="9"/>
    <x v="9"/>
    <x v="9"/>
    <x v="12"/>
    <x v="220"/>
    <x v="28"/>
    <x v="61"/>
    <x v="119"/>
    <x v="80"/>
    <x v="43"/>
    <x v="4"/>
  </r>
  <r>
    <x v="0"/>
    <x v="32"/>
    <x v="32"/>
    <x v="12"/>
    <x v="12"/>
    <x v="12"/>
    <x v="15"/>
    <x v="211"/>
    <x v="75"/>
    <x v="116"/>
    <x v="186"/>
    <x v="45"/>
    <x v="240"/>
    <x v="4"/>
  </r>
  <r>
    <x v="0"/>
    <x v="32"/>
    <x v="32"/>
    <x v="13"/>
    <x v="13"/>
    <x v="13"/>
    <x v="16"/>
    <x v="221"/>
    <x v="32"/>
    <x v="58"/>
    <x v="103"/>
    <x v="90"/>
    <x v="264"/>
    <x v="4"/>
  </r>
  <r>
    <x v="0"/>
    <x v="32"/>
    <x v="32"/>
    <x v="17"/>
    <x v="17"/>
    <x v="17"/>
    <x v="16"/>
    <x v="221"/>
    <x v="32"/>
    <x v="88"/>
    <x v="147"/>
    <x v="124"/>
    <x v="53"/>
    <x v="4"/>
  </r>
  <r>
    <x v="0"/>
    <x v="32"/>
    <x v="32"/>
    <x v="19"/>
    <x v="19"/>
    <x v="19"/>
    <x v="16"/>
    <x v="221"/>
    <x v="32"/>
    <x v="77"/>
    <x v="301"/>
    <x v="51"/>
    <x v="18"/>
    <x v="4"/>
  </r>
  <r>
    <x v="0"/>
    <x v="32"/>
    <x v="32"/>
    <x v="23"/>
    <x v="23"/>
    <x v="23"/>
    <x v="19"/>
    <x v="222"/>
    <x v="33"/>
    <x v="61"/>
    <x v="119"/>
    <x v="70"/>
    <x v="12"/>
    <x v="4"/>
  </r>
  <r>
    <x v="0"/>
    <x v="32"/>
    <x v="32"/>
    <x v="58"/>
    <x v="58"/>
    <x v="58"/>
    <x v="19"/>
    <x v="222"/>
    <x v="33"/>
    <x v="56"/>
    <x v="230"/>
    <x v="51"/>
    <x v="18"/>
    <x v="4"/>
  </r>
  <r>
    <x v="0"/>
    <x v="33"/>
    <x v="33"/>
    <x v="55"/>
    <x v="55"/>
    <x v="55"/>
    <x v="0"/>
    <x v="59"/>
    <x v="253"/>
    <x v="124"/>
    <x v="190"/>
    <x v="89"/>
    <x v="296"/>
    <x v="4"/>
  </r>
  <r>
    <x v="0"/>
    <x v="33"/>
    <x v="33"/>
    <x v="1"/>
    <x v="1"/>
    <x v="1"/>
    <x v="1"/>
    <x v="68"/>
    <x v="254"/>
    <x v="195"/>
    <x v="395"/>
    <x v="54"/>
    <x v="5"/>
    <x v="4"/>
  </r>
  <r>
    <x v="0"/>
    <x v="33"/>
    <x v="33"/>
    <x v="2"/>
    <x v="2"/>
    <x v="2"/>
    <x v="2"/>
    <x v="155"/>
    <x v="104"/>
    <x v="63"/>
    <x v="396"/>
    <x v="51"/>
    <x v="125"/>
    <x v="4"/>
  </r>
  <r>
    <x v="0"/>
    <x v="33"/>
    <x v="33"/>
    <x v="4"/>
    <x v="4"/>
    <x v="4"/>
    <x v="3"/>
    <x v="124"/>
    <x v="250"/>
    <x v="105"/>
    <x v="397"/>
    <x v="64"/>
    <x v="273"/>
    <x v="4"/>
  </r>
  <r>
    <x v="0"/>
    <x v="33"/>
    <x v="33"/>
    <x v="3"/>
    <x v="3"/>
    <x v="3"/>
    <x v="3"/>
    <x v="124"/>
    <x v="250"/>
    <x v="108"/>
    <x v="180"/>
    <x v="51"/>
    <x v="125"/>
    <x v="4"/>
  </r>
  <r>
    <x v="0"/>
    <x v="33"/>
    <x v="33"/>
    <x v="6"/>
    <x v="6"/>
    <x v="6"/>
    <x v="5"/>
    <x v="133"/>
    <x v="236"/>
    <x v="78"/>
    <x v="398"/>
    <x v="121"/>
    <x v="49"/>
    <x v="4"/>
  </r>
  <r>
    <x v="0"/>
    <x v="33"/>
    <x v="33"/>
    <x v="10"/>
    <x v="10"/>
    <x v="10"/>
    <x v="6"/>
    <x v="134"/>
    <x v="173"/>
    <x v="100"/>
    <x v="399"/>
    <x v="70"/>
    <x v="29"/>
    <x v="4"/>
  </r>
  <r>
    <x v="0"/>
    <x v="33"/>
    <x v="33"/>
    <x v="0"/>
    <x v="0"/>
    <x v="0"/>
    <x v="7"/>
    <x v="137"/>
    <x v="7"/>
    <x v="128"/>
    <x v="272"/>
    <x v="124"/>
    <x v="124"/>
    <x v="4"/>
  </r>
  <r>
    <x v="0"/>
    <x v="33"/>
    <x v="33"/>
    <x v="62"/>
    <x v="62"/>
    <x v="62"/>
    <x v="8"/>
    <x v="138"/>
    <x v="132"/>
    <x v="128"/>
    <x v="272"/>
    <x v="122"/>
    <x v="96"/>
    <x v="4"/>
  </r>
  <r>
    <x v="0"/>
    <x v="33"/>
    <x v="33"/>
    <x v="14"/>
    <x v="14"/>
    <x v="14"/>
    <x v="9"/>
    <x v="139"/>
    <x v="109"/>
    <x v="66"/>
    <x v="72"/>
    <x v="108"/>
    <x v="225"/>
    <x v="4"/>
  </r>
  <r>
    <x v="0"/>
    <x v="33"/>
    <x v="33"/>
    <x v="5"/>
    <x v="5"/>
    <x v="5"/>
    <x v="10"/>
    <x v="140"/>
    <x v="161"/>
    <x v="119"/>
    <x v="308"/>
    <x v="54"/>
    <x v="5"/>
    <x v="4"/>
  </r>
  <r>
    <x v="0"/>
    <x v="33"/>
    <x v="33"/>
    <x v="11"/>
    <x v="11"/>
    <x v="11"/>
    <x v="11"/>
    <x v="141"/>
    <x v="61"/>
    <x v="95"/>
    <x v="400"/>
    <x v="70"/>
    <x v="29"/>
    <x v="4"/>
  </r>
  <r>
    <x v="0"/>
    <x v="33"/>
    <x v="33"/>
    <x v="33"/>
    <x v="33"/>
    <x v="33"/>
    <x v="11"/>
    <x v="141"/>
    <x v="61"/>
    <x v="56"/>
    <x v="401"/>
    <x v="64"/>
    <x v="273"/>
    <x v="4"/>
  </r>
  <r>
    <x v="0"/>
    <x v="33"/>
    <x v="33"/>
    <x v="39"/>
    <x v="39"/>
    <x v="39"/>
    <x v="13"/>
    <x v="209"/>
    <x v="73"/>
    <x v="76"/>
    <x v="402"/>
    <x v="64"/>
    <x v="273"/>
    <x v="4"/>
  </r>
  <r>
    <x v="0"/>
    <x v="33"/>
    <x v="33"/>
    <x v="16"/>
    <x v="16"/>
    <x v="16"/>
    <x v="13"/>
    <x v="209"/>
    <x v="73"/>
    <x v="128"/>
    <x v="272"/>
    <x v="81"/>
    <x v="294"/>
    <x v="4"/>
  </r>
  <r>
    <x v="0"/>
    <x v="33"/>
    <x v="33"/>
    <x v="12"/>
    <x v="12"/>
    <x v="12"/>
    <x v="15"/>
    <x v="220"/>
    <x v="74"/>
    <x v="116"/>
    <x v="48"/>
    <x v="97"/>
    <x v="116"/>
    <x v="4"/>
  </r>
  <r>
    <x v="0"/>
    <x v="33"/>
    <x v="33"/>
    <x v="13"/>
    <x v="13"/>
    <x v="13"/>
    <x v="15"/>
    <x v="220"/>
    <x v="74"/>
    <x v="58"/>
    <x v="191"/>
    <x v="70"/>
    <x v="29"/>
    <x v="4"/>
  </r>
  <r>
    <x v="0"/>
    <x v="33"/>
    <x v="33"/>
    <x v="9"/>
    <x v="9"/>
    <x v="9"/>
    <x v="17"/>
    <x v="211"/>
    <x v="100"/>
    <x v="49"/>
    <x v="168"/>
    <x v="80"/>
    <x v="111"/>
    <x v="4"/>
  </r>
  <r>
    <x v="0"/>
    <x v="33"/>
    <x v="33"/>
    <x v="26"/>
    <x v="26"/>
    <x v="26"/>
    <x v="18"/>
    <x v="221"/>
    <x v="15"/>
    <x v="56"/>
    <x v="401"/>
    <x v="78"/>
    <x v="295"/>
    <x v="4"/>
  </r>
  <r>
    <x v="0"/>
    <x v="33"/>
    <x v="33"/>
    <x v="58"/>
    <x v="58"/>
    <x v="58"/>
    <x v="19"/>
    <x v="222"/>
    <x v="34"/>
    <x v="95"/>
    <x v="400"/>
    <x v="122"/>
    <x v="96"/>
    <x v="4"/>
  </r>
  <r>
    <x v="0"/>
    <x v="33"/>
    <x v="33"/>
    <x v="15"/>
    <x v="15"/>
    <x v="15"/>
    <x v="19"/>
    <x v="222"/>
    <x v="34"/>
    <x v="88"/>
    <x v="245"/>
    <x v="63"/>
    <x v="58"/>
    <x v="4"/>
  </r>
  <r>
    <x v="0"/>
    <x v="34"/>
    <x v="34"/>
    <x v="1"/>
    <x v="1"/>
    <x v="1"/>
    <x v="0"/>
    <x v="223"/>
    <x v="255"/>
    <x v="86"/>
    <x v="329"/>
    <x v="99"/>
    <x v="217"/>
    <x v="4"/>
  </r>
  <r>
    <x v="0"/>
    <x v="34"/>
    <x v="34"/>
    <x v="3"/>
    <x v="3"/>
    <x v="3"/>
    <x v="1"/>
    <x v="101"/>
    <x v="256"/>
    <x v="59"/>
    <x v="403"/>
    <x v="51"/>
    <x v="297"/>
    <x v="4"/>
  </r>
  <r>
    <x v="0"/>
    <x v="34"/>
    <x v="34"/>
    <x v="5"/>
    <x v="5"/>
    <x v="5"/>
    <x v="2"/>
    <x v="91"/>
    <x v="257"/>
    <x v="80"/>
    <x v="41"/>
    <x v="99"/>
    <x v="217"/>
    <x v="4"/>
  </r>
  <r>
    <x v="0"/>
    <x v="34"/>
    <x v="34"/>
    <x v="2"/>
    <x v="2"/>
    <x v="2"/>
    <x v="3"/>
    <x v="52"/>
    <x v="196"/>
    <x v="195"/>
    <x v="195"/>
    <x v="64"/>
    <x v="144"/>
    <x v="4"/>
  </r>
  <r>
    <x v="0"/>
    <x v="34"/>
    <x v="34"/>
    <x v="6"/>
    <x v="6"/>
    <x v="6"/>
    <x v="4"/>
    <x v="54"/>
    <x v="258"/>
    <x v="132"/>
    <x v="43"/>
    <x v="81"/>
    <x v="131"/>
    <x v="4"/>
  </r>
  <r>
    <x v="0"/>
    <x v="34"/>
    <x v="34"/>
    <x v="4"/>
    <x v="4"/>
    <x v="4"/>
    <x v="5"/>
    <x v="70"/>
    <x v="20"/>
    <x v="183"/>
    <x v="30"/>
    <x v="90"/>
    <x v="37"/>
    <x v="4"/>
  </r>
  <r>
    <x v="0"/>
    <x v="34"/>
    <x v="34"/>
    <x v="19"/>
    <x v="19"/>
    <x v="19"/>
    <x v="6"/>
    <x v="130"/>
    <x v="45"/>
    <x v="117"/>
    <x v="404"/>
    <x v="64"/>
    <x v="144"/>
    <x v="4"/>
  </r>
  <r>
    <x v="0"/>
    <x v="34"/>
    <x v="34"/>
    <x v="10"/>
    <x v="10"/>
    <x v="10"/>
    <x v="7"/>
    <x v="132"/>
    <x v="132"/>
    <x v="43"/>
    <x v="363"/>
    <x v="70"/>
    <x v="35"/>
    <x v="4"/>
  </r>
  <r>
    <x v="0"/>
    <x v="34"/>
    <x v="34"/>
    <x v="7"/>
    <x v="7"/>
    <x v="7"/>
    <x v="7"/>
    <x v="132"/>
    <x v="132"/>
    <x v="133"/>
    <x v="405"/>
    <x v="121"/>
    <x v="298"/>
    <x v="4"/>
  </r>
  <r>
    <x v="0"/>
    <x v="34"/>
    <x v="34"/>
    <x v="0"/>
    <x v="0"/>
    <x v="0"/>
    <x v="9"/>
    <x v="126"/>
    <x v="194"/>
    <x v="101"/>
    <x v="188"/>
    <x v="77"/>
    <x v="88"/>
    <x v="4"/>
  </r>
  <r>
    <x v="0"/>
    <x v="34"/>
    <x v="34"/>
    <x v="63"/>
    <x v="63"/>
    <x v="63"/>
    <x v="10"/>
    <x v="208"/>
    <x v="95"/>
    <x v="68"/>
    <x v="406"/>
    <x v="90"/>
    <x v="37"/>
    <x v="4"/>
  </r>
  <r>
    <x v="0"/>
    <x v="34"/>
    <x v="34"/>
    <x v="8"/>
    <x v="8"/>
    <x v="8"/>
    <x v="10"/>
    <x v="208"/>
    <x v="95"/>
    <x v="101"/>
    <x v="188"/>
    <x v="97"/>
    <x v="154"/>
    <x v="4"/>
  </r>
  <r>
    <x v="0"/>
    <x v="34"/>
    <x v="34"/>
    <x v="17"/>
    <x v="17"/>
    <x v="17"/>
    <x v="12"/>
    <x v="219"/>
    <x v="46"/>
    <x v="77"/>
    <x v="407"/>
    <x v="45"/>
    <x v="33"/>
    <x v="4"/>
  </r>
  <r>
    <x v="0"/>
    <x v="34"/>
    <x v="34"/>
    <x v="14"/>
    <x v="14"/>
    <x v="14"/>
    <x v="13"/>
    <x v="138"/>
    <x v="47"/>
    <x v="116"/>
    <x v="325"/>
    <x v="69"/>
    <x v="257"/>
    <x v="4"/>
  </r>
  <r>
    <x v="0"/>
    <x v="34"/>
    <x v="34"/>
    <x v="53"/>
    <x v="53"/>
    <x v="53"/>
    <x v="14"/>
    <x v="139"/>
    <x v="123"/>
    <x v="76"/>
    <x v="274"/>
    <x v="97"/>
    <x v="154"/>
    <x v="4"/>
  </r>
  <r>
    <x v="0"/>
    <x v="34"/>
    <x v="34"/>
    <x v="11"/>
    <x v="11"/>
    <x v="11"/>
    <x v="15"/>
    <x v="140"/>
    <x v="99"/>
    <x v="88"/>
    <x v="222"/>
    <x v="80"/>
    <x v="287"/>
    <x v="4"/>
  </r>
  <r>
    <x v="0"/>
    <x v="34"/>
    <x v="34"/>
    <x v="12"/>
    <x v="12"/>
    <x v="12"/>
    <x v="16"/>
    <x v="224"/>
    <x v="75"/>
    <x v="48"/>
    <x v="103"/>
    <x v="80"/>
    <x v="287"/>
    <x v="4"/>
  </r>
  <r>
    <x v="0"/>
    <x v="34"/>
    <x v="34"/>
    <x v="33"/>
    <x v="33"/>
    <x v="33"/>
    <x v="16"/>
    <x v="224"/>
    <x v="75"/>
    <x v="143"/>
    <x v="220"/>
    <x v="63"/>
    <x v="299"/>
    <x v="4"/>
  </r>
  <r>
    <x v="0"/>
    <x v="34"/>
    <x v="34"/>
    <x v="15"/>
    <x v="15"/>
    <x v="15"/>
    <x v="16"/>
    <x v="224"/>
    <x v="75"/>
    <x v="77"/>
    <x v="407"/>
    <x v="64"/>
    <x v="144"/>
    <x v="4"/>
  </r>
  <r>
    <x v="0"/>
    <x v="34"/>
    <x v="34"/>
    <x v="9"/>
    <x v="9"/>
    <x v="9"/>
    <x v="19"/>
    <x v="141"/>
    <x v="13"/>
    <x v="116"/>
    <x v="325"/>
    <x v="119"/>
    <x v="278"/>
    <x v="1"/>
  </r>
  <r>
    <x v="0"/>
    <x v="35"/>
    <x v="35"/>
    <x v="1"/>
    <x v="1"/>
    <x v="1"/>
    <x v="0"/>
    <x v="89"/>
    <x v="259"/>
    <x v="196"/>
    <x v="408"/>
    <x v="47"/>
    <x v="147"/>
    <x v="4"/>
  </r>
  <r>
    <x v="0"/>
    <x v="35"/>
    <x v="35"/>
    <x v="9"/>
    <x v="9"/>
    <x v="9"/>
    <x v="1"/>
    <x v="223"/>
    <x v="105"/>
    <x v="77"/>
    <x v="409"/>
    <x v="157"/>
    <x v="266"/>
    <x v="4"/>
  </r>
  <r>
    <x v="0"/>
    <x v="35"/>
    <x v="35"/>
    <x v="0"/>
    <x v="0"/>
    <x v="0"/>
    <x v="2"/>
    <x v="205"/>
    <x v="79"/>
    <x v="123"/>
    <x v="410"/>
    <x v="83"/>
    <x v="300"/>
    <x v="4"/>
  </r>
  <r>
    <x v="0"/>
    <x v="35"/>
    <x v="35"/>
    <x v="2"/>
    <x v="2"/>
    <x v="2"/>
    <x v="3"/>
    <x v="99"/>
    <x v="91"/>
    <x v="82"/>
    <x v="411"/>
    <x v="45"/>
    <x v="254"/>
    <x v="4"/>
  </r>
  <r>
    <x v="0"/>
    <x v="35"/>
    <x v="35"/>
    <x v="8"/>
    <x v="8"/>
    <x v="8"/>
    <x v="4"/>
    <x v="64"/>
    <x v="240"/>
    <x v="123"/>
    <x v="410"/>
    <x v="73"/>
    <x v="301"/>
    <x v="4"/>
  </r>
  <r>
    <x v="0"/>
    <x v="35"/>
    <x v="35"/>
    <x v="3"/>
    <x v="3"/>
    <x v="3"/>
    <x v="5"/>
    <x v="161"/>
    <x v="260"/>
    <x v="132"/>
    <x v="412"/>
    <x v="63"/>
    <x v="7"/>
    <x v="4"/>
  </r>
  <r>
    <x v="0"/>
    <x v="35"/>
    <x v="35"/>
    <x v="6"/>
    <x v="6"/>
    <x v="6"/>
    <x v="5"/>
    <x v="161"/>
    <x v="260"/>
    <x v="52"/>
    <x v="413"/>
    <x v="122"/>
    <x v="56"/>
    <x v="4"/>
  </r>
  <r>
    <x v="0"/>
    <x v="35"/>
    <x v="35"/>
    <x v="14"/>
    <x v="14"/>
    <x v="14"/>
    <x v="7"/>
    <x v="54"/>
    <x v="193"/>
    <x v="81"/>
    <x v="243"/>
    <x v="71"/>
    <x v="302"/>
    <x v="4"/>
  </r>
  <r>
    <x v="0"/>
    <x v="35"/>
    <x v="35"/>
    <x v="44"/>
    <x v="44"/>
    <x v="44"/>
    <x v="8"/>
    <x v="68"/>
    <x v="194"/>
    <x v="56"/>
    <x v="147"/>
    <x v="133"/>
    <x v="303"/>
    <x v="4"/>
  </r>
  <r>
    <x v="0"/>
    <x v="35"/>
    <x v="35"/>
    <x v="5"/>
    <x v="5"/>
    <x v="5"/>
    <x v="9"/>
    <x v="83"/>
    <x v="161"/>
    <x v="115"/>
    <x v="414"/>
    <x v="74"/>
    <x v="49"/>
    <x v="4"/>
  </r>
  <r>
    <x v="0"/>
    <x v="35"/>
    <x v="35"/>
    <x v="48"/>
    <x v="48"/>
    <x v="48"/>
    <x v="10"/>
    <x v="120"/>
    <x v="9"/>
    <x v="95"/>
    <x v="415"/>
    <x v="132"/>
    <x v="50"/>
    <x v="4"/>
  </r>
  <r>
    <x v="0"/>
    <x v="35"/>
    <x v="35"/>
    <x v="13"/>
    <x v="13"/>
    <x v="13"/>
    <x v="11"/>
    <x v="155"/>
    <x v="111"/>
    <x v="81"/>
    <x v="243"/>
    <x v="132"/>
    <x v="50"/>
    <x v="4"/>
  </r>
  <r>
    <x v="0"/>
    <x v="35"/>
    <x v="35"/>
    <x v="36"/>
    <x v="36"/>
    <x v="36"/>
    <x v="11"/>
    <x v="155"/>
    <x v="111"/>
    <x v="165"/>
    <x v="404"/>
    <x v="47"/>
    <x v="147"/>
    <x v="4"/>
  </r>
  <r>
    <x v="0"/>
    <x v="35"/>
    <x v="35"/>
    <x v="10"/>
    <x v="10"/>
    <x v="10"/>
    <x v="13"/>
    <x v="121"/>
    <x v="97"/>
    <x v="134"/>
    <x v="416"/>
    <x v="77"/>
    <x v="299"/>
    <x v="4"/>
  </r>
  <r>
    <x v="0"/>
    <x v="35"/>
    <x v="35"/>
    <x v="4"/>
    <x v="4"/>
    <x v="4"/>
    <x v="14"/>
    <x v="71"/>
    <x v="98"/>
    <x v="45"/>
    <x v="417"/>
    <x v="64"/>
    <x v="218"/>
    <x v="4"/>
  </r>
  <r>
    <x v="0"/>
    <x v="35"/>
    <x v="35"/>
    <x v="7"/>
    <x v="7"/>
    <x v="7"/>
    <x v="14"/>
    <x v="71"/>
    <x v="98"/>
    <x v="131"/>
    <x v="418"/>
    <x v="121"/>
    <x v="203"/>
    <x v="4"/>
  </r>
  <r>
    <x v="0"/>
    <x v="35"/>
    <x v="35"/>
    <x v="64"/>
    <x v="64"/>
    <x v="64"/>
    <x v="16"/>
    <x v="123"/>
    <x v="133"/>
    <x v="49"/>
    <x v="200"/>
    <x v="126"/>
    <x v="29"/>
    <x v="4"/>
  </r>
  <r>
    <x v="0"/>
    <x v="35"/>
    <x v="35"/>
    <x v="11"/>
    <x v="11"/>
    <x v="11"/>
    <x v="17"/>
    <x v="200"/>
    <x v="86"/>
    <x v="76"/>
    <x v="184"/>
    <x v="89"/>
    <x v="8"/>
    <x v="4"/>
  </r>
  <r>
    <x v="0"/>
    <x v="35"/>
    <x v="35"/>
    <x v="45"/>
    <x v="45"/>
    <x v="45"/>
    <x v="18"/>
    <x v="124"/>
    <x v="15"/>
    <x v="61"/>
    <x v="198"/>
    <x v="120"/>
    <x v="115"/>
    <x v="4"/>
  </r>
  <r>
    <x v="0"/>
    <x v="35"/>
    <x v="35"/>
    <x v="24"/>
    <x v="24"/>
    <x v="24"/>
    <x v="18"/>
    <x v="124"/>
    <x v="15"/>
    <x v="53"/>
    <x v="12"/>
    <x v="89"/>
    <x v="8"/>
    <x v="4"/>
  </r>
  <r>
    <x v="0"/>
    <x v="36"/>
    <x v="36"/>
    <x v="0"/>
    <x v="0"/>
    <x v="0"/>
    <x v="0"/>
    <x v="147"/>
    <x v="261"/>
    <x v="150"/>
    <x v="24"/>
    <x v="133"/>
    <x v="266"/>
    <x v="4"/>
  </r>
  <r>
    <x v="0"/>
    <x v="36"/>
    <x v="36"/>
    <x v="1"/>
    <x v="1"/>
    <x v="1"/>
    <x v="1"/>
    <x v="47"/>
    <x v="262"/>
    <x v="36"/>
    <x v="419"/>
    <x v="99"/>
    <x v="304"/>
    <x v="4"/>
  </r>
  <r>
    <x v="0"/>
    <x v="36"/>
    <x v="36"/>
    <x v="3"/>
    <x v="3"/>
    <x v="3"/>
    <x v="2"/>
    <x v="63"/>
    <x v="263"/>
    <x v="59"/>
    <x v="125"/>
    <x v="78"/>
    <x v="171"/>
    <x v="4"/>
  </r>
  <r>
    <x v="0"/>
    <x v="36"/>
    <x v="36"/>
    <x v="4"/>
    <x v="4"/>
    <x v="4"/>
    <x v="3"/>
    <x v="81"/>
    <x v="78"/>
    <x v="115"/>
    <x v="420"/>
    <x v="119"/>
    <x v="205"/>
    <x v="4"/>
  </r>
  <r>
    <x v="0"/>
    <x v="36"/>
    <x v="36"/>
    <x v="5"/>
    <x v="5"/>
    <x v="5"/>
    <x v="4"/>
    <x v="102"/>
    <x v="39"/>
    <x v="175"/>
    <x v="412"/>
    <x v="78"/>
    <x v="171"/>
    <x v="4"/>
  </r>
  <r>
    <x v="0"/>
    <x v="36"/>
    <x v="36"/>
    <x v="2"/>
    <x v="2"/>
    <x v="2"/>
    <x v="5"/>
    <x v="161"/>
    <x v="19"/>
    <x v="67"/>
    <x v="30"/>
    <x v="84"/>
    <x v="30"/>
    <x v="1"/>
  </r>
  <r>
    <x v="0"/>
    <x v="36"/>
    <x v="36"/>
    <x v="6"/>
    <x v="6"/>
    <x v="6"/>
    <x v="6"/>
    <x v="52"/>
    <x v="52"/>
    <x v="175"/>
    <x v="412"/>
    <x v="74"/>
    <x v="288"/>
    <x v="4"/>
  </r>
  <r>
    <x v="0"/>
    <x v="36"/>
    <x v="36"/>
    <x v="14"/>
    <x v="14"/>
    <x v="14"/>
    <x v="7"/>
    <x v="56"/>
    <x v="179"/>
    <x v="88"/>
    <x v="84"/>
    <x v="128"/>
    <x v="305"/>
    <x v="4"/>
  </r>
  <r>
    <x v="0"/>
    <x v="36"/>
    <x v="36"/>
    <x v="23"/>
    <x v="23"/>
    <x v="23"/>
    <x v="8"/>
    <x v="121"/>
    <x v="192"/>
    <x v="68"/>
    <x v="160"/>
    <x v="65"/>
    <x v="214"/>
    <x v="4"/>
  </r>
  <r>
    <x v="0"/>
    <x v="36"/>
    <x v="36"/>
    <x v="10"/>
    <x v="10"/>
    <x v="10"/>
    <x v="9"/>
    <x v="129"/>
    <x v="83"/>
    <x v="138"/>
    <x v="421"/>
    <x v="45"/>
    <x v="110"/>
    <x v="1"/>
  </r>
  <r>
    <x v="0"/>
    <x v="36"/>
    <x v="36"/>
    <x v="8"/>
    <x v="8"/>
    <x v="8"/>
    <x v="10"/>
    <x v="130"/>
    <x v="188"/>
    <x v="100"/>
    <x v="332"/>
    <x v="84"/>
    <x v="30"/>
    <x v="4"/>
  </r>
  <r>
    <x v="0"/>
    <x v="36"/>
    <x v="36"/>
    <x v="36"/>
    <x v="36"/>
    <x v="36"/>
    <x v="11"/>
    <x v="131"/>
    <x v="122"/>
    <x v="165"/>
    <x v="272"/>
    <x v="63"/>
    <x v="152"/>
    <x v="4"/>
  </r>
  <r>
    <x v="0"/>
    <x v="36"/>
    <x v="36"/>
    <x v="7"/>
    <x v="7"/>
    <x v="7"/>
    <x v="12"/>
    <x v="125"/>
    <x v="111"/>
    <x v="79"/>
    <x v="422"/>
    <x v="121"/>
    <x v="104"/>
    <x v="4"/>
  </r>
  <r>
    <x v="0"/>
    <x v="36"/>
    <x v="36"/>
    <x v="11"/>
    <x v="11"/>
    <x v="11"/>
    <x v="13"/>
    <x v="133"/>
    <x v="28"/>
    <x v="88"/>
    <x v="84"/>
    <x v="69"/>
    <x v="275"/>
    <x v="4"/>
  </r>
  <r>
    <x v="0"/>
    <x v="36"/>
    <x v="36"/>
    <x v="46"/>
    <x v="46"/>
    <x v="46"/>
    <x v="13"/>
    <x v="133"/>
    <x v="28"/>
    <x v="74"/>
    <x v="117"/>
    <x v="56"/>
    <x v="306"/>
    <x v="4"/>
  </r>
  <r>
    <x v="0"/>
    <x v="36"/>
    <x v="36"/>
    <x v="54"/>
    <x v="54"/>
    <x v="54"/>
    <x v="15"/>
    <x v="137"/>
    <x v="13"/>
    <x v="68"/>
    <x v="160"/>
    <x v="64"/>
    <x v="299"/>
    <x v="4"/>
  </r>
  <r>
    <x v="0"/>
    <x v="36"/>
    <x v="36"/>
    <x v="16"/>
    <x v="16"/>
    <x v="16"/>
    <x v="15"/>
    <x v="137"/>
    <x v="13"/>
    <x v="118"/>
    <x v="402"/>
    <x v="70"/>
    <x v="175"/>
    <x v="4"/>
  </r>
  <r>
    <x v="0"/>
    <x v="36"/>
    <x v="36"/>
    <x v="18"/>
    <x v="18"/>
    <x v="18"/>
    <x v="17"/>
    <x v="219"/>
    <x v="182"/>
    <x v="48"/>
    <x v="158"/>
    <x v="56"/>
    <x v="306"/>
    <x v="4"/>
  </r>
  <r>
    <x v="0"/>
    <x v="36"/>
    <x v="36"/>
    <x v="12"/>
    <x v="12"/>
    <x v="12"/>
    <x v="18"/>
    <x v="138"/>
    <x v="150"/>
    <x v="53"/>
    <x v="69"/>
    <x v="44"/>
    <x v="287"/>
    <x v="4"/>
  </r>
  <r>
    <x v="0"/>
    <x v="36"/>
    <x v="36"/>
    <x v="53"/>
    <x v="53"/>
    <x v="53"/>
    <x v="18"/>
    <x v="138"/>
    <x v="150"/>
    <x v="76"/>
    <x v="208"/>
    <x v="80"/>
    <x v="186"/>
    <x v="4"/>
  </r>
  <r>
    <x v="0"/>
    <x v="37"/>
    <x v="37"/>
    <x v="1"/>
    <x v="1"/>
    <x v="1"/>
    <x v="0"/>
    <x v="53"/>
    <x v="264"/>
    <x v="52"/>
    <x v="423"/>
    <x v="54"/>
    <x v="51"/>
    <x v="4"/>
  </r>
  <r>
    <x v="0"/>
    <x v="37"/>
    <x v="37"/>
    <x v="6"/>
    <x v="6"/>
    <x v="6"/>
    <x v="1"/>
    <x v="120"/>
    <x v="265"/>
    <x v="115"/>
    <x v="76"/>
    <x v="154"/>
    <x v="267"/>
    <x v="4"/>
  </r>
  <r>
    <x v="0"/>
    <x v="37"/>
    <x v="37"/>
    <x v="53"/>
    <x v="53"/>
    <x v="53"/>
    <x v="2"/>
    <x v="125"/>
    <x v="203"/>
    <x v="43"/>
    <x v="424"/>
    <x v="45"/>
    <x v="307"/>
    <x v="4"/>
  </r>
  <r>
    <x v="0"/>
    <x v="37"/>
    <x v="37"/>
    <x v="14"/>
    <x v="14"/>
    <x v="14"/>
    <x v="3"/>
    <x v="126"/>
    <x v="266"/>
    <x v="48"/>
    <x v="57"/>
    <x v="75"/>
    <x v="308"/>
    <x v="4"/>
  </r>
  <r>
    <x v="0"/>
    <x v="37"/>
    <x v="37"/>
    <x v="5"/>
    <x v="5"/>
    <x v="5"/>
    <x v="4"/>
    <x v="137"/>
    <x v="117"/>
    <x v="138"/>
    <x v="425"/>
    <x v="78"/>
    <x v="217"/>
    <x v="4"/>
  </r>
  <r>
    <x v="0"/>
    <x v="37"/>
    <x v="37"/>
    <x v="12"/>
    <x v="12"/>
    <x v="12"/>
    <x v="5"/>
    <x v="139"/>
    <x v="23"/>
    <x v="95"/>
    <x v="426"/>
    <x v="80"/>
    <x v="309"/>
    <x v="4"/>
  </r>
  <r>
    <x v="0"/>
    <x v="37"/>
    <x v="37"/>
    <x v="8"/>
    <x v="8"/>
    <x v="8"/>
    <x v="6"/>
    <x v="140"/>
    <x v="140"/>
    <x v="118"/>
    <x v="427"/>
    <x v="99"/>
    <x v="119"/>
    <x v="4"/>
  </r>
  <r>
    <x v="0"/>
    <x v="37"/>
    <x v="37"/>
    <x v="3"/>
    <x v="3"/>
    <x v="3"/>
    <x v="6"/>
    <x v="140"/>
    <x v="140"/>
    <x v="138"/>
    <x v="425"/>
    <x v="81"/>
    <x v="98"/>
    <x v="4"/>
  </r>
  <r>
    <x v="0"/>
    <x v="37"/>
    <x v="37"/>
    <x v="4"/>
    <x v="4"/>
    <x v="4"/>
    <x v="8"/>
    <x v="224"/>
    <x v="45"/>
    <x v="89"/>
    <x v="169"/>
    <x v="78"/>
    <x v="217"/>
    <x v="4"/>
  </r>
  <r>
    <x v="0"/>
    <x v="37"/>
    <x v="37"/>
    <x v="2"/>
    <x v="2"/>
    <x v="2"/>
    <x v="8"/>
    <x v="224"/>
    <x v="45"/>
    <x v="89"/>
    <x v="169"/>
    <x v="78"/>
    <x v="217"/>
    <x v="4"/>
  </r>
  <r>
    <x v="0"/>
    <x v="37"/>
    <x v="37"/>
    <x v="11"/>
    <x v="11"/>
    <x v="11"/>
    <x v="10"/>
    <x v="142"/>
    <x v="82"/>
    <x v="95"/>
    <x v="426"/>
    <x v="68"/>
    <x v="310"/>
    <x v="4"/>
  </r>
  <r>
    <x v="0"/>
    <x v="37"/>
    <x v="37"/>
    <x v="10"/>
    <x v="10"/>
    <x v="10"/>
    <x v="11"/>
    <x v="209"/>
    <x v="58"/>
    <x v="56"/>
    <x v="428"/>
    <x v="124"/>
    <x v="153"/>
    <x v="4"/>
  </r>
  <r>
    <x v="0"/>
    <x v="37"/>
    <x v="37"/>
    <x v="17"/>
    <x v="17"/>
    <x v="17"/>
    <x v="11"/>
    <x v="209"/>
    <x v="58"/>
    <x v="88"/>
    <x v="400"/>
    <x v="68"/>
    <x v="310"/>
    <x v="4"/>
  </r>
  <r>
    <x v="0"/>
    <x v="37"/>
    <x v="37"/>
    <x v="33"/>
    <x v="33"/>
    <x v="33"/>
    <x v="13"/>
    <x v="210"/>
    <x v="168"/>
    <x v="56"/>
    <x v="428"/>
    <x v="63"/>
    <x v="306"/>
    <x v="4"/>
  </r>
  <r>
    <x v="0"/>
    <x v="37"/>
    <x v="37"/>
    <x v="15"/>
    <x v="15"/>
    <x v="15"/>
    <x v="13"/>
    <x v="210"/>
    <x v="168"/>
    <x v="95"/>
    <x v="426"/>
    <x v="64"/>
    <x v="311"/>
    <x v="4"/>
  </r>
  <r>
    <x v="0"/>
    <x v="37"/>
    <x v="37"/>
    <x v="19"/>
    <x v="19"/>
    <x v="19"/>
    <x v="15"/>
    <x v="211"/>
    <x v="26"/>
    <x v="143"/>
    <x v="429"/>
    <x v="74"/>
    <x v="312"/>
    <x v="4"/>
  </r>
  <r>
    <x v="0"/>
    <x v="37"/>
    <x v="37"/>
    <x v="58"/>
    <x v="58"/>
    <x v="58"/>
    <x v="16"/>
    <x v="221"/>
    <x v="11"/>
    <x v="100"/>
    <x v="430"/>
    <x v="121"/>
    <x v="25"/>
    <x v="4"/>
  </r>
  <r>
    <x v="0"/>
    <x v="37"/>
    <x v="37"/>
    <x v="13"/>
    <x v="13"/>
    <x v="13"/>
    <x v="17"/>
    <x v="225"/>
    <x v="74"/>
    <x v="81"/>
    <x v="233"/>
    <x v="124"/>
    <x v="153"/>
    <x v="4"/>
  </r>
  <r>
    <x v="0"/>
    <x v="37"/>
    <x v="37"/>
    <x v="16"/>
    <x v="16"/>
    <x v="16"/>
    <x v="17"/>
    <x v="225"/>
    <x v="74"/>
    <x v="101"/>
    <x v="290"/>
    <x v="81"/>
    <x v="98"/>
    <x v="4"/>
  </r>
  <r>
    <x v="0"/>
    <x v="37"/>
    <x v="37"/>
    <x v="65"/>
    <x v="65"/>
    <x v="65"/>
    <x v="19"/>
    <x v="226"/>
    <x v="33"/>
    <x v="74"/>
    <x v="220"/>
    <x v="74"/>
    <x v="312"/>
    <x v="4"/>
  </r>
  <r>
    <x v="0"/>
    <x v="37"/>
    <x v="37"/>
    <x v="66"/>
    <x v="66"/>
    <x v="66"/>
    <x v="19"/>
    <x v="226"/>
    <x v="33"/>
    <x v="116"/>
    <x v="431"/>
    <x v="99"/>
    <x v="119"/>
    <x v="4"/>
  </r>
  <r>
    <x v="0"/>
    <x v="38"/>
    <x v="38"/>
    <x v="1"/>
    <x v="1"/>
    <x v="1"/>
    <x v="0"/>
    <x v="76"/>
    <x v="50"/>
    <x v="197"/>
    <x v="432"/>
    <x v="56"/>
    <x v="313"/>
    <x v="4"/>
  </r>
  <r>
    <x v="0"/>
    <x v="38"/>
    <x v="38"/>
    <x v="0"/>
    <x v="0"/>
    <x v="0"/>
    <x v="1"/>
    <x v="223"/>
    <x v="267"/>
    <x v="80"/>
    <x v="433"/>
    <x v="94"/>
    <x v="117"/>
    <x v="4"/>
  </r>
  <r>
    <x v="0"/>
    <x v="38"/>
    <x v="38"/>
    <x v="6"/>
    <x v="6"/>
    <x v="6"/>
    <x v="2"/>
    <x v="68"/>
    <x v="217"/>
    <x v="159"/>
    <x v="286"/>
    <x v="122"/>
    <x v="249"/>
    <x v="4"/>
  </r>
  <r>
    <x v="0"/>
    <x v="38"/>
    <x v="38"/>
    <x v="3"/>
    <x v="3"/>
    <x v="3"/>
    <x v="3"/>
    <x v="56"/>
    <x v="138"/>
    <x v="195"/>
    <x v="347"/>
    <x v="81"/>
    <x v="284"/>
    <x v="4"/>
  </r>
  <r>
    <x v="0"/>
    <x v="38"/>
    <x v="38"/>
    <x v="2"/>
    <x v="2"/>
    <x v="2"/>
    <x v="4"/>
    <x v="70"/>
    <x v="92"/>
    <x v="65"/>
    <x v="65"/>
    <x v="99"/>
    <x v="75"/>
    <x v="4"/>
  </r>
  <r>
    <x v="0"/>
    <x v="38"/>
    <x v="38"/>
    <x v="7"/>
    <x v="7"/>
    <x v="7"/>
    <x v="5"/>
    <x v="122"/>
    <x v="167"/>
    <x v="131"/>
    <x v="287"/>
    <x v="81"/>
    <x v="284"/>
    <x v="4"/>
  </r>
  <r>
    <x v="0"/>
    <x v="38"/>
    <x v="38"/>
    <x v="5"/>
    <x v="5"/>
    <x v="5"/>
    <x v="5"/>
    <x v="122"/>
    <x v="167"/>
    <x v="126"/>
    <x v="434"/>
    <x v="78"/>
    <x v="260"/>
    <x v="4"/>
  </r>
  <r>
    <x v="0"/>
    <x v="38"/>
    <x v="38"/>
    <x v="13"/>
    <x v="13"/>
    <x v="13"/>
    <x v="7"/>
    <x v="71"/>
    <x v="236"/>
    <x v="116"/>
    <x v="114"/>
    <x v="132"/>
    <x v="309"/>
    <x v="4"/>
  </r>
  <r>
    <x v="0"/>
    <x v="38"/>
    <x v="38"/>
    <x v="4"/>
    <x v="4"/>
    <x v="4"/>
    <x v="8"/>
    <x v="200"/>
    <x v="180"/>
    <x v="51"/>
    <x v="435"/>
    <x v="90"/>
    <x v="190"/>
    <x v="4"/>
  </r>
  <r>
    <x v="0"/>
    <x v="38"/>
    <x v="38"/>
    <x v="8"/>
    <x v="8"/>
    <x v="8"/>
    <x v="9"/>
    <x v="166"/>
    <x v="252"/>
    <x v="100"/>
    <x v="45"/>
    <x v="61"/>
    <x v="278"/>
    <x v="4"/>
  </r>
  <r>
    <x v="0"/>
    <x v="38"/>
    <x v="38"/>
    <x v="14"/>
    <x v="14"/>
    <x v="14"/>
    <x v="10"/>
    <x v="136"/>
    <x v="122"/>
    <x v="49"/>
    <x v="32"/>
    <x v="59"/>
    <x v="129"/>
    <x v="4"/>
  </r>
  <r>
    <x v="0"/>
    <x v="38"/>
    <x v="38"/>
    <x v="12"/>
    <x v="12"/>
    <x v="12"/>
    <x v="10"/>
    <x v="136"/>
    <x v="122"/>
    <x v="53"/>
    <x v="216"/>
    <x v="65"/>
    <x v="314"/>
    <x v="4"/>
  </r>
  <r>
    <x v="0"/>
    <x v="38"/>
    <x v="38"/>
    <x v="11"/>
    <x v="11"/>
    <x v="11"/>
    <x v="10"/>
    <x v="136"/>
    <x v="122"/>
    <x v="53"/>
    <x v="216"/>
    <x v="65"/>
    <x v="314"/>
    <x v="4"/>
  </r>
  <r>
    <x v="0"/>
    <x v="38"/>
    <x v="38"/>
    <x v="20"/>
    <x v="20"/>
    <x v="20"/>
    <x v="10"/>
    <x v="136"/>
    <x v="122"/>
    <x v="108"/>
    <x v="436"/>
    <x v="121"/>
    <x v="104"/>
    <x v="4"/>
  </r>
  <r>
    <x v="0"/>
    <x v="38"/>
    <x v="38"/>
    <x v="9"/>
    <x v="9"/>
    <x v="9"/>
    <x v="14"/>
    <x v="133"/>
    <x v="201"/>
    <x v="88"/>
    <x v="140"/>
    <x v="69"/>
    <x v="315"/>
    <x v="4"/>
  </r>
  <r>
    <x v="0"/>
    <x v="38"/>
    <x v="38"/>
    <x v="59"/>
    <x v="59"/>
    <x v="59"/>
    <x v="14"/>
    <x v="133"/>
    <x v="201"/>
    <x v="49"/>
    <x v="32"/>
    <x v="94"/>
    <x v="117"/>
    <x v="4"/>
  </r>
  <r>
    <x v="0"/>
    <x v="38"/>
    <x v="38"/>
    <x v="19"/>
    <x v="19"/>
    <x v="19"/>
    <x v="16"/>
    <x v="208"/>
    <x v="84"/>
    <x v="43"/>
    <x v="182"/>
    <x v="124"/>
    <x v="68"/>
    <x v="4"/>
  </r>
  <r>
    <x v="0"/>
    <x v="38"/>
    <x v="38"/>
    <x v="53"/>
    <x v="53"/>
    <x v="53"/>
    <x v="17"/>
    <x v="219"/>
    <x v="86"/>
    <x v="77"/>
    <x v="437"/>
    <x v="45"/>
    <x v="47"/>
    <x v="4"/>
  </r>
  <r>
    <x v="0"/>
    <x v="38"/>
    <x v="38"/>
    <x v="15"/>
    <x v="15"/>
    <x v="15"/>
    <x v="18"/>
    <x v="138"/>
    <x v="74"/>
    <x v="101"/>
    <x v="401"/>
    <x v="68"/>
    <x v="134"/>
    <x v="4"/>
  </r>
  <r>
    <x v="0"/>
    <x v="38"/>
    <x v="38"/>
    <x v="16"/>
    <x v="16"/>
    <x v="16"/>
    <x v="19"/>
    <x v="141"/>
    <x v="16"/>
    <x v="74"/>
    <x v="31"/>
    <x v="90"/>
    <x v="190"/>
    <x v="4"/>
  </r>
  <r>
    <x v="0"/>
    <x v="39"/>
    <x v="39"/>
    <x v="0"/>
    <x v="0"/>
    <x v="0"/>
    <x v="0"/>
    <x v="175"/>
    <x v="268"/>
    <x v="141"/>
    <x v="438"/>
    <x v="89"/>
    <x v="316"/>
    <x v="4"/>
  </r>
  <r>
    <x v="0"/>
    <x v="39"/>
    <x v="39"/>
    <x v="1"/>
    <x v="1"/>
    <x v="1"/>
    <x v="1"/>
    <x v="62"/>
    <x v="269"/>
    <x v="124"/>
    <x v="390"/>
    <x v="119"/>
    <x v="79"/>
    <x v="4"/>
  </r>
  <r>
    <x v="0"/>
    <x v="39"/>
    <x v="39"/>
    <x v="2"/>
    <x v="2"/>
    <x v="2"/>
    <x v="2"/>
    <x v="67"/>
    <x v="207"/>
    <x v="115"/>
    <x v="439"/>
    <x v="78"/>
    <x v="42"/>
    <x v="1"/>
  </r>
  <r>
    <x v="0"/>
    <x v="39"/>
    <x v="39"/>
    <x v="6"/>
    <x v="6"/>
    <x v="6"/>
    <x v="3"/>
    <x v="120"/>
    <x v="270"/>
    <x v="159"/>
    <x v="440"/>
    <x v="81"/>
    <x v="25"/>
    <x v="4"/>
  </r>
  <r>
    <x v="0"/>
    <x v="39"/>
    <x v="39"/>
    <x v="5"/>
    <x v="5"/>
    <x v="5"/>
    <x v="4"/>
    <x v="152"/>
    <x v="118"/>
    <x v="183"/>
    <x v="266"/>
    <x v="51"/>
    <x v="171"/>
    <x v="4"/>
  </r>
  <r>
    <x v="0"/>
    <x v="39"/>
    <x v="39"/>
    <x v="12"/>
    <x v="12"/>
    <x v="12"/>
    <x v="5"/>
    <x v="129"/>
    <x v="55"/>
    <x v="61"/>
    <x v="244"/>
    <x v="40"/>
    <x v="317"/>
    <x v="4"/>
  </r>
  <r>
    <x v="0"/>
    <x v="39"/>
    <x v="39"/>
    <x v="8"/>
    <x v="8"/>
    <x v="8"/>
    <x v="5"/>
    <x v="129"/>
    <x v="55"/>
    <x v="43"/>
    <x v="441"/>
    <x v="119"/>
    <x v="79"/>
    <x v="4"/>
  </r>
  <r>
    <x v="0"/>
    <x v="39"/>
    <x v="39"/>
    <x v="7"/>
    <x v="7"/>
    <x v="7"/>
    <x v="7"/>
    <x v="124"/>
    <x v="200"/>
    <x v="79"/>
    <x v="98"/>
    <x v="81"/>
    <x v="25"/>
    <x v="4"/>
  </r>
  <r>
    <x v="0"/>
    <x v="39"/>
    <x v="39"/>
    <x v="53"/>
    <x v="53"/>
    <x v="53"/>
    <x v="8"/>
    <x v="208"/>
    <x v="94"/>
    <x v="118"/>
    <x v="8"/>
    <x v="45"/>
    <x v="155"/>
    <x v="4"/>
  </r>
  <r>
    <x v="0"/>
    <x v="39"/>
    <x v="39"/>
    <x v="48"/>
    <x v="48"/>
    <x v="48"/>
    <x v="9"/>
    <x v="137"/>
    <x v="60"/>
    <x v="116"/>
    <x v="12"/>
    <x v="108"/>
    <x v="318"/>
    <x v="4"/>
  </r>
  <r>
    <x v="0"/>
    <x v="39"/>
    <x v="39"/>
    <x v="4"/>
    <x v="4"/>
    <x v="4"/>
    <x v="10"/>
    <x v="219"/>
    <x v="201"/>
    <x v="128"/>
    <x v="29"/>
    <x v="63"/>
    <x v="41"/>
    <x v="4"/>
  </r>
  <r>
    <x v="0"/>
    <x v="39"/>
    <x v="39"/>
    <x v="13"/>
    <x v="13"/>
    <x v="13"/>
    <x v="11"/>
    <x v="138"/>
    <x v="97"/>
    <x v="48"/>
    <x v="124"/>
    <x v="77"/>
    <x v="275"/>
    <x v="4"/>
  </r>
  <r>
    <x v="0"/>
    <x v="39"/>
    <x v="39"/>
    <x v="44"/>
    <x v="44"/>
    <x v="44"/>
    <x v="12"/>
    <x v="139"/>
    <x v="73"/>
    <x v="88"/>
    <x v="442"/>
    <x v="47"/>
    <x v="154"/>
    <x v="4"/>
  </r>
  <r>
    <x v="0"/>
    <x v="39"/>
    <x v="39"/>
    <x v="14"/>
    <x v="14"/>
    <x v="14"/>
    <x v="13"/>
    <x v="224"/>
    <x v="99"/>
    <x v="116"/>
    <x v="12"/>
    <x v="56"/>
    <x v="48"/>
    <x v="4"/>
  </r>
  <r>
    <x v="0"/>
    <x v="39"/>
    <x v="39"/>
    <x v="11"/>
    <x v="11"/>
    <x v="11"/>
    <x v="13"/>
    <x v="224"/>
    <x v="99"/>
    <x v="48"/>
    <x v="124"/>
    <x v="80"/>
    <x v="130"/>
    <x v="4"/>
  </r>
  <r>
    <x v="0"/>
    <x v="39"/>
    <x v="39"/>
    <x v="45"/>
    <x v="45"/>
    <x v="45"/>
    <x v="13"/>
    <x v="224"/>
    <x v="99"/>
    <x v="53"/>
    <x v="240"/>
    <x v="77"/>
    <x v="275"/>
    <x v="4"/>
  </r>
  <r>
    <x v="0"/>
    <x v="39"/>
    <x v="39"/>
    <x v="20"/>
    <x v="20"/>
    <x v="20"/>
    <x v="13"/>
    <x v="224"/>
    <x v="99"/>
    <x v="32"/>
    <x v="384"/>
    <x v="154"/>
    <x v="267"/>
    <x v="4"/>
  </r>
  <r>
    <x v="0"/>
    <x v="39"/>
    <x v="39"/>
    <x v="19"/>
    <x v="19"/>
    <x v="19"/>
    <x v="13"/>
    <x v="224"/>
    <x v="99"/>
    <x v="101"/>
    <x v="86"/>
    <x v="124"/>
    <x v="16"/>
    <x v="1"/>
  </r>
  <r>
    <x v="0"/>
    <x v="39"/>
    <x v="39"/>
    <x v="15"/>
    <x v="15"/>
    <x v="15"/>
    <x v="18"/>
    <x v="141"/>
    <x v="75"/>
    <x v="77"/>
    <x v="443"/>
    <x v="99"/>
    <x v="319"/>
    <x v="4"/>
  </r>
  <r>
    <x v="0"/>
    <x v="39"/>
    <x v="39"/>
    <x v="10"/>
    <x v="10"/>
    <x v="10"/>
    <x v="18"/>
    <x v="141"/>
    <x v="75"/>
    <x v="101"/>
    <x v="86"/>
    <x v="124"/>
    <x v="16"/>
    <x v="4"/>
  </r>
  <r>
    <x v="0"/>
    <x v="39"/>
    <x v="39"/>
    <x v="9"/>
    <x v="9"/>
    <x v="9"/>
    <x v="18"/>
    <x v="141"/>
    <x v="75"/>
    <x v="81"/>
    <x v="444"/>
    <x v="80"/>
    <x v="130"/>
    <x v="4"/>
  </r>
  <r>
    <x v="0"/>
    <x v="40"/>
    <x v="40"/>
    <x v="0"/>
    <x v="0"/>
    <x v="0"/>
    <x v="0"/>
    <x v="81"/>
    <x v="271"/>
    <x v="60"/>
    <x v="445"/>
    <x v="84"/>
    <x v="179"/>
    <x v="4"/>
  </r>
  <r>
    <x v="0"/>
    <x v="40"/>
    <x v="40"/>
    <x v="1"/>
    <x v="1"/>
    <x v="1"/>
    <x v="1"/>
    <x v="92"/>
    <x v="272"/>
    <x v="124"/>
    <x v="446"/>
    <x v="118"/>
    <x v="196"/>
    <x v="4"/>
  </r>
  <r>
    <x v="0"/>
    <x v="40"/>
    <x v="40"/>
    <x v="2"/>
    <x v="2"/>
    <x v="2"/>
    <x v="2"/>
    <x v="200"/>
    <x v="273"/>
    <x v="127"/>
    <x v="447"/>
    <x v="54"/>
    <x v="249"/>
    <x v="4"/>
  </r>
  <r>
    <x v="0"/>
    <x v="40"/>
    <x v="40"/>
    <x v="5"/>
    <x v="5"/>
    <x v="5"/>
    <x v="3"/>
    <x v="152"/>
    <x v="274"/>
    <x v="133"/>
    <x v="6"/>
    <x v="118"/>
    <x v="196"/>
    <x v="4"/>
  </r>
  <r>
    <x v="0"/>
    <x v="40"/>
    <x v="40"/>
    <x v="6"/>
    <x v="6"/>
    <x v="6"/>
    <x v="4"/>
    <x v="124"/>
    <x v="275"/>
    <x v="108"/>
    <x v="2"/>
    <x v="51"/>
    <x v="295"/>
    <x v="4"/>
  </r>
  <r>
    <x v="0"/>
    <x v="40"/>
    <x v="40"/>
    <x v="13"/>
    <x v="13"/>
    <x v="13"/>
    <x v="5"/>
    <x v="126"/>
    <x v="138"/>
    <x v="88"/>
    <x v="356"/>
    <x v="108"/>
    <x v="320"/>
    <x v="4"/>
  </r>
  <r>
    <x v="0"/>
    <x v="40"/>
    <x v="40"/>
    <x v="3"/>
    <x v="3"/>
    <x v="3"/>
    <x v="5"/>
    <x v="126"/>
    <x v="138"/>
    <x v="78"/>
    <x v="448"/>
    <x v="74"/>
    <x v="57"/>
    <x v="4"/>
  </r>
  <r>
    <x v="0"/>
    <x v="40"/>
    <x v="40"/>
    <x v="4"/>
    <x v="4"/>
    <x v="4"/>
    <x v="7"/>
    <x v="136"/>
    <x v="53"/>
    <x v="117"/>
    <x v="449"/>
    <x v="78"/>
    <x v="292"/>
    <x v="4"/>
  </r>
  <r>
    <x v="0"/>
    <x v="40"/>
    <x v="40"/>
    <x v="15"/>
    <x v="15"/>
    <x v="15"/>
    <x v="8"/>
    <x v="140"/>
    <x v="186"/>
    <x v="95"/>
    <x v="407"/>
    <x v="97"/>
    <x v="150"/>
    <x v="4"/>
  </r>
  <r>
    <x v="0"/>
    <x v="40"/>
    <x v="40"/>
    <x v="14"/>
    <x v="14"/>
    <x v="14"/>
    <x v="9"/>
    <x v="224"/>
    <x v="276"/>
    <x v="81"/>
    <x v="208"/>
    <x v="47"/>
    <x v="189"/>
    <x v="4"/>
  </r>
  <r>
    <x v="0"/>
    <x v="40"/>
    <x v="40"/>
    <x v="67"/>
    <x v="67"/>
    <x v="67"/>
    <x v="10"/>
    <x v="142"/>
    <x v="168"/>
    <x v="66"/>
    <x v="72"/>
    <x v="84"/>
    <x v="179"/>
    <x v="4"/>
  </r>
  <r>
    <x v="0"/>
    <x v="40"/>
    <x v="40"/>
    <x v="7"/>
    <x v="7"/>
    <x v="7"/>
    <x v="10"/>
    <x v="142"/>
    <x v="168"/>
    <x v="176"/>
    <x v="450"/>
    <x v="154"/>
    <x v="267"/>
    <x v="4"/>
  </r>
  <r>
    <x v="0"/>
    <x v="40"/>
    <x v="40"/>
    <x v="20"/>
    <x v="20"/>
    <x v="20"/>
    <x v="12"/>
    <x v="209"/>
    <x v="188"/>
    <x v="119"/>
    <x v="451"/>
    <x v="154"/>
    <x v="267"/>
    <x v="4"/>
  </r>
  <r>
    <x v="0"/>
    <x v="40"/>
    <x v="40"/>
    <x v="16"/>
    <x v="16"/>
    <x v="16"/>
    <x v="13"/>
    <x v="210"/>
    <x v="61"/>
    <x v="77"/>
    <x v="284"/>
    <x v="122"/>
    <x v="20"/>
    <x v="4"/>
  </r>
  <r>
    <x v="0"/>
    <x v="40"/>
    <x v="40"/>
    <x v="11"/>
    <x v="11"/>
    <x v="11"/>
    <x v="14"/>
    <x v="221"/>
    <x v="28"/>
    <x v="88"/>
    <x v="356"/>
    <x v="124"/>
    <x v="321"/>
    <x v="4"/>
  </r>
  <r>
    <x v="0"/>
    <x v="40"/>
    <x v="40"/>
    <x v="46"/>
    <x v="46"/>
    <x v="46"/>
    <x v="14"/>
    <x v="221"/>
    <x v="28"/>
    <x v="77"/>
    <x v="284"/>
    <x v="51"/>
    <x v="295"/>
    <x v="4"/>
  </r>
  <r>
    <x v="0"/>
    <x v="40"/>
    <x v="40"/>
    <x v="8"/>
    <x v="8"/>
    <x v="8"/>
    <x v="16"/>
    <x v="222"/>
    <x v="63"/>
    <x v="56"/>
    <x v="51"/>
    <x v="51"/>
    <x v="295"/>
    <x v="4"/>
  </r>
  <r>
    <x v="0"/>
    <x v="40"/>
    <x v="40"/>
    <x v="12"/>
    <x v="12"/>
    <x v="12"/>
    <x v="17"/>
    <x v="225"/>
    <x v="14"/>
    <x v="49"/>
    <x v="452"/>
    <x v="70"/>
    <x v="111"/>
    <x v="4"/>
  </r>
  <r>
    <x v="0"/>
    <x v="40"/>
    <x v="40"/>
    <x v="49"/>
    <x v="49"/>
    <x v="49"/>
    <x v="17"/>
    <x v="225"/>
    <x v="14"/>
    <x v="61"/>
    <x v="453"/>
    <x v="68"/>
    <x v="215"/>
    <x v="4"/>
  </r>
  <r>
    <x v="0"/>
    <x v="40"/>
    <x v="40"/>
    <x v="52"/>
    <x v="52"/>
    <x v="52"/>
    <x v="17"/>
    <x v="225"/>
    <x v="14"/>
    <x v="116"/>
    <x v="431"/>
    <x v="90"/>
    <x v="322"/>
    <x v="4"/>
  </r>
  <r>
    <x v="0"/>
    <x v="40"/>
    <x v="40"/>
    <x v="40"/>
    <x v="40"/>
    <x v="40"/>
    <x v="17"/>
    <x v="225"/>
    <x v="14"/>
    <x v="58"/>
    <x v="454"/>
    <x v="81"/>
    <x v="323"/>
    <x v="4"/>
  </r>
  <r>
    <x v="0"/>
    <x v="41"/>
    <x v="41"/>
    <x v="1"/>
    <x v="1"/>
    <x v="1"/>
    <x v="0"/>
    <x v="123"/>
    <x v="277"/>
    <x v="133"/>
    <x v="455"/>
    <x v="124"/>
    <x v="234"/>
    <x v="4"/>
  </r>
  <r>
    <x v="0"/>
    <x v="41"/>
    <x v="41"/>
    <x v="0"/>
    <x v="0"/>
    <x v="0"/>
    <x v="1"/>
    <x v="166"/>
    <x v="278"/>
    <x v="77"/>
    <x v="456"/>
    <x v="65"/>
    <x v="324"/>
    <x v="4"/>
  </r>
  <r>
    <x v="0"/>
    <x v="41"/>
    <x v="41"/>
    <x v="6"/>
    <x v="6"/>
    <x v="6"/>
    <x v="2"/>
    <x v="125"/>
    <x v="65"/>
    <x v="79"/>
    <x v="122"/>
    <x v="121"/>
    <x v="46"/>
    <x v="4"/>
  </r>
  <r>
    <x v="0"/>
    <x v="41"/>
    <x v="41"/>
    <x v="2"/>
    <x v="2"/>
    <x v="2"/>
    <x v="3"/>
    <x v="208"/>
    <x v="279"/>
    <x v="43"/>
    <x v="457"/>
    <x v="124"/>
    <x v="234"/>
    <x v="4"/>
  </r>
  <r>
    <x v="0"/>
    <x v="41"/>
    <x v="41"/>
    <x v="10"/>
    <x v="10"/>
    <x v="10"/>
    <x v="4"/>
    <x v="140"/>
    <x v="139"/>
    <x v="118"/>
    <x v="458"/>
    <x v="99"/>
    <x v="192"/>
    <x v="4"/>
  </r>
  <r>
    <x v="0"/>
    <x v="41"/>
    <x v="41"/>
    <x v="7"/>
    <x v="7"/>
    <x v="7"/>
    <x v="5"/>
    <x v="142"/>
    <x v="22"/>
    <x v="43"/>
    <x v="457"/>
    <x v="81"/>
    <x v="226"/>
    <x v="4"/>
  </r>
  <r>
    <x v="0"/>
    <x v="41"/>
    <x v="41"/>
    <x v="39"/>
    <x v="39"/>
    <x v="39"/>
    <x v="6"/>
    <x v="209"/>
    <x v="69"/>
    <x v="76"/>
    <x v="217"/>
    <x v="64"/>
    <x v="322"/>
    <x v="4"/>
  </r>
  <r>
    <x v="0"/>
    <x v="41"/>
    <x v="41"/>
    <x v="3"/>
    <x v="3"/>
    <x v="3"/>
    <x v="7"/>
    <x v="220"/>
    <x v="220"/>
    <x v="100"/>
    <x v="0"/>
    <x v="74"/>
    <x v="325"/>
    <x v="4"/>
  </r>
  <r>
    <x v="0"/>
    <x v="41"/>
    <x v="41"/>
    <x v="5"/>
    <x v="5"/>
    <x v="5"/>
    <x v="7"/>
    <x v="220"/>
    <x v="220"/>
    <x v="89"/>
    <x v="459"/>
    <x v="121"/>
    <x v="46"/>
    <x v="4"/>
  </r>
  <r>
    <x v="0"/>
    <x v="41"/>
    <x v="41"/>
    <x v="8"/>
    <x v="8"/>
    <x v="8"/>
    <x v="9"/>
    <x v="211"/>
    <x v="187"/>
    <x v="95"/>
    <x v="344"/>
    <x v="124"/>
    <x v="234"/>
    <x v="4"/>
  </r>
  <r>
    <x v="0"/>
    <x v="41"/>
    <x v="41"/>
    <x v="9"/>
    <x v="9"/>
    <x v="9"/>
    <x v="9"/>
    <x v="211"/>
    <x v="187"/>
    <x v="61"/>
    <x v="216"/>
    <x v="97"/>
    <x v="245"/>
    <x v="4"/>
  </r>
  <r>
    <x v="0"/>
    <x v="41"/>
    <x v="41"/>
    <x v="15"/>
    <x v="15"/>
    <x v="15"/>
    <x v="11"/>
    <x v="221"/>
    <x v="280"/>
    <x v="76"/>
    <x v="217"/>
    <x v="122"/>
    <x v="326"/>
    <x v="4"/>
  </r>
  <r>
    <x v="0"/>
    <x v="41"/>
    <x v="41"/>
    <x v="4"/>
    <x v="4"/>
    <x v="4"/>
    <x v="12"/>
    <x v="222"/>
    <x v="281"/>
    <x v="76"/>
    <x v="217"/>
    <x v="118"/>
    <x v="270"/>
    <x v="4"/>
  </r>
  <r>
    <x v="0"/>
    <x v="41"/>
    <x v="41"/>
    <x v="20"/>
    <x v="20"/>
    <x v="20"/>
    <x v="13"/>
    <x v="225"/>
    <x v="26"/>
    <x v="77"/>
    <x v="456"/>
    <x v="74"/>
    <x v="325"/>
    <x v="4"/>
  </r>
  <r>
    <x v="0"/>
    <x v="41"/>
    <x v="41"/>
    <x v="12"/>
    <x v="12"/>
    <x v="12"/>
    <x v="14"/>
    <x v="227"/>
    <x v="62"/>
    <x v="66"/>
    <x v="72"/>
    <x v="70"/>
    <x v="212"/>
    <x v="4"/>
  </r>
  <r>
    <x v="0"/>
    <x v="41"/>
    <x v="41"/>
    <x v="51"/>
    <x v="51"/>
    <x v="51"/>
    <x v="15"/>
    <x v="226"/>
    <x v="48"/>
    <x v="49"/>
    <x v="53"/>
    <x v="90"/>
    <x v="327"/>
    <x v="4"/>
  </r>
  <r>
    <x v="0"/>
    <x v="41"/>
    <x v="41"/>
    <x v="50"/>
    <x v="50"/>
    <x v="50"/>
    <x v="15"/>
    <x v="226"/>
    <x v="48"/>
    <x v="116"/>
    <x v="145"/>
    <x v="99"/>
    <x v="192"/>
    <x v="4"/>
  </r>
  <r>
    <x v="0"/>
    <x v="41"/>
    <x v="41"/>
    <x v="33"/>
    <x v="33"/>
    <x v="33"/>
    <x v="17"/>
    <x v="228"/>
    <x v="242"/>
    <x v="81"/>
    <x v="214"/>
    <x v="118"/>
    <x v="270"/>
    <x v="4"/>
  </r>
  <r>
    <x v="0"/>
    <x v="41"/>
    <x v="41"/>
    <x v="11"/>
    <x v="11"/>
    <x v="11"/>
    <x v="18"/>
    <x v="229"/>
    <x v="162"/>
    <x v="61"/>
    <x v="216"/>
    <x v="124"/>
    <x v="234"/>
    <x v="4"/>
  </r>
  <r>
    <x v="0"/>
    <x v="41"/>
    <x v="41"/>
    <x v="14"/>
    <x v="14"/>
    <x v="14"/>
    <x v="19"/>
    <x v="230"/>
    <x v="126"/>
    <x v="49"/>
    <x v="53"/>
    <x v="124"/>
    <x v="234"/>
    <x v="4"/>
  </r>
  <r>
    <x v="0"/>
    <x v="41"/>
    <x v="41"/>
    <x v="13"/>
    <x v="13"/>
    <x v="13"/>
    <x v="19"/>
    <x v="230"/>
    <x v="126"/>
    <x v="116"/>
    <x v="145"/>
    <x v="122"/>
    <x v="326"/>
    <x v="4"/>
  </r>
  <r>
    <x v="0"/>
    <x v="41"/>
    <x v="41"/>
    <x v="45"/>
    <x v="45"/>
    <x v="45"/>
    <x v="19"/>
    <x v="230"/>
    <x v="126"/>
    <x v="61"/>
    <x v="216"/>
    <x v="63"/>
    <x v="193"/>
    <x v="4"/>
  </r>
  <r>
    <x v="0"/>
    <x v="41"/>
    <x v="41"/>
    <x v="58"/>
    <x v="58"/>
    <x v="58"/>
    <x v="19"/>
    <x v="230"/>
    <x v="126"/>
    <x v="88"/>
    <x v="460"/>
    <x v="74"/>
    <x v="325"/>
    <x v="4"/>
  </r>
  <r>
    <x v="0"/>
    <x v="41"/>
    <x v="41"/>
    <x v="68"/>
    <x v="68"/>
    <x v="68"/>
    <x v="19"/>
    <x v="230"/>
    <x v="126"/>
    <x v="53"/>
    <x v="140"/>
    <x v="118"/>
    <x v="270"/>
    <x v="4"/>
  </r>
  <r>
    <x v="0"/>
    <x v="41"/>
    <x v="41"/>
    <x v="19"/>
    <x v="19"/>
    <x v="19"/>
    <x v="19"/>
    <x v="230"/>
    <x v="126"/>
    <x v="88"/>
    <x v="460"/>
    <x v="74"/>
    <x v="325"/>
    <x v="4"/>
  </r>
  <r>
    <x v="0"/>
    <x v="42"/>
    <x v="42"/>
    <x v="1"/>
    <x v="1"/>
    <x v="1"/>
    <x v="0"/>
    <x v="79"/>
    <x v="282"/>
    <x v="59"/>
    <x v="461"/>
    <x v="45"/>
    <x v="133"/>
    <x v="4"/>
  </r>
  <r>
    <x v="0"/>
    <x v="42"/>
    <x v="42"/>
    <x v="0"/>
    <x v="0"/>
    <x v="0"/>
    <x v="1"/>
    <x v="64"/>
    <x v="283"/>
    <x v="126"/>
    <x v="23"/>
    <x v="123"/>
    <x v="328"/>
    <x v="4"/>
  </r>
  <r>
    <x v="0"/>
    <x v="42"/>
    <x v="42"/>
    <x v="2"/>
    <x v="2"/>
    <x v="2"/>
    <x v="2"/>
    <x v="155"/>
    <x v="207"/>
    <x v="127"/>
    <x v="462"/>
    <x v="63"/>
    <x v="204"/>
    <x v="4"/>
  </r>
  <r>
    <x v="0"/>
    <x v="42"/>
    <x v="42"/>
    <x v="5"/>
    <x v="5"/>
    <x v="5"/>
    <x v="3"/>
    <x v="200"/>
    <x v="39"/>
    <x v="98"/>
    <x v="252"/>
    <x v="81"/>
    <x v="244"/>
    <x v="4"/>
  </r>
  <r>
    <x v="0"/>
    <x v="42"/>
    <x v="42"/>
    <x v="11"/>
    <x v="11"/>
    <x v="11"/>
    <x v="4"/>
    <x v="132"/>
    <x v="284"/>
    <x v="116"/>
    <x v="35"/>
    <x v="59"/>
    <x v="329"/>
    <x v="4"/>
  </r>
  <r>
    <x v="0"/>
    <x v="42"/>
    <x v="42"/>
    <x v="3"/>
    <x v="3"/>
    <x v="3"/>
    <x v="4"/>
    <x v="132"/>
    <x v="284"/>
    <x v="45"/>
    <x v="151"/>
    <x v="81"/>
    <x v="244"/>
    <x v="4"/>
  </r>
  <r>
    <x v="0"/>
    <x v="42"/>
    <x v="42"/>
    <x v="6"/>
    <x v="6"/>
    <x v="6"/>
    <x v="4"/>
    <x v="132"/>
    <x v="284"/>
    <x v="45"/>
    <x v="151"/>
    <x v="81"/>
    <x v="244"/>
    <x v="4"/>
  </r>
  <r>
    <x v="0"/>
    <x v="42"/>
    <x v="42"/>
    <x v="4"/>
    <x v="4"/>
    <x v="4"/>
    <x v="7"/>
    <x v="136"/>
    <x v="43"/>
    <x v="138"/>
    <x v="30"/>
    <x v="124"/>
    <x v="10"/>
    <x v="4"/>
  </r>
  <r>
    <x v="0"/>
    <x v="42"/>
    <x v="42"/>
    <x v="8"/>
    <x v="8"/>
    <x v="8"/>
    <x v="8"/>
    <x v="133"/>
    <x v="140"/>
    <x v="88"/>
    <x v="342"/>
    <x v="69"/>
    <x v="330"/>
    <x v="4"/>
  </r>
  <r>
    <x v="0"/>
    <x v="42"/>
    <x v="42"/>
    <x v="14"/>
    <x v="14"/>
    <x v="14"/>
    <x v="9"/>
    <x v="208"/>
    <x v="174"/>
    <x v="53"/>
    <x v="336"/>
    <x v="108"/>
    <x v="331"/>
    <x v="4"/>
  </r>
  <r>
    <x v="0"/>
    <x v="42"/>
    <x v="42"/>
    <x v="9"/>
    <x v="9"/>
    <x v="9"/>
    <x v="9"/>
    <x v="208"/>
    <x v="174"/>
    <x v="95"/>
    <x v="463"/>
    <x v="56"/>
    <x v="233"/>
    <x v="4"/>
  </r>
  <r>
    <x v="0"/>
    <x v="42"/>
    <x v="42"/>
    <x v="19"/>
    <x v="19"/>
    <x v="19"/>
    <x v="11"/>
    <x v="138"/>
    <x v="58"/>
    <x v="89"/>
    <x v="215"/>
    <x v="63"/>
    <x v="204"/>
    <x v="4"/>
  </r>
  <r>
    <x v="0"/>
    <x v="42"/>
    <x v="42"/>
    <x v="17"/>
    <x v="17"/>
    <x v="17"/>
    <x v="12"/>
    <x v="139"/>
    <x v="160"/>
    <x v="95"/>
    <x v="463"/>
    <x v="80"/>
    <x v="275"/>
    <x v="4"/>
  </r>
  <r>
    <x v="0"/>
    <x v="42"/>
    <x v="42"/>
    <x v="12"/>
    <x v="12"/>
    <x v="12"/>
    <x v="13"/>
    <x v="140"/>
    <x v="8"/>
    <x v="66"/>
    <x v="72"/>
    <x v="61"/>
    <x v="332"/>
    <x v="4"/>
  </r>
  <r>
    <x v="0"/>
    <x v="42"/>
    <x v="42"/>
    <x v="51"/>
    <x v="51"/>
    <x v="51"/>
    <x v="14"/>
    <x v="224"/>
    <x v="60"/>
    <x v="61"/>
    <x v="464"/>
    <x v="84"/>
    <x v="60"/>
    <x v="4"/>
  </r>
  <r>
    <x v="0"/>
    <x v="42"/>
    <x v="42"/>
    <x v="15"/>
    <x v="15"/>
    <x v="15"/>
    <x v="15"/>
    <x v="142"/>
    <x v="46"/>
    <x v="48"/>
    <x v="320"/>
    <x v="45"/>
    <x v="133"/>
    <x v="4"/>
  </r>
  <r>
    <x v="0"/>
    <x v="42"/>
    <x v="42"/>
    <x v="47"/>
    <x v="47"/>
    <x v="47"/>
    <x v="16"/>
    <x v="220"/>
    <x v="75"/>
    <x v="58"/>
    <x v="465"/>
    <x v="70"/>
    <x v="333"/>
    <x v="4"/>
  </r>
  <r>
    <x v="0"/>
    <x v="42"/>
    <x v="42"/>
    <x v="13"/>
    <x v="13"/>
    <x v="13"/>
    <x v="17"/>
    <x v="211"/>
    <x v="32"/>
    <x v="116"/>
    <x v="35"/>
    <x v="45"/>
    <x v="133"/>
    <x v="4"/>
  </r>
  <r>
    <x v="0"/>
    <x v="42"/>
    <x v="42"/>
    <x v="18"/>
    <x v="18"/>
    <x v="18"/>
    <x v="17"/>
    <x v="211"/>
    <x v="32"/>
    <x v="53"/>
    <x v="336"/>
    <x v="70"/>
    <x v="333"/>
    <x v="4"/>
  </r>
  <r>
    <x v="0"/>
    <x v="42"/>
    <x v="42"/>
    <x v="53"/>
    <x v="53"/>
    <x v="53"/>
    <x v="19"/>
    <x v="221"/>
    <x v="124"/>
    <x v="61"/>
    <x v="464"/>
    <x v="45"/>
    <x v="133"/>
    <x v="4"/>
  </r>
  <r>
    <x v="0"/>
    <x v="42"/>
    <x v="42"/>
    <x v="7"/>
    <x v="7"/>
    <x v="7"/>
    <x v="19"/>
    <x v="221"/>
    <x v="124"/>
    <x v="143"/>
    <x v="430"/>
    <x v="81"/>
    <x v="244"/>
    <x v="4"/>
  </r>
  <r>
    <x v="0"/>
    <x v="43"/>
    <x v="43"/>
    <x v="1"/>
    <x v="1"/>
    <x v="1"/>
    <x v="0"/>
    <x v="123"/>
    <x v="285"/>
    <x v="67"/>
    <x v="466"/>
    <x v="81"/>
    <x v="171"/>
    <x v="4"/>
  </r>
  <r>
    <x v="0"/>
    <x v="43"/>
    <x v="43"/>
    <x v="69"/>
    <x v="69"/>
    <x v="69"/>
    <x v="1"/>
    <x v="131"/>
    <x v="286"/>
    <x v="101"/>
    <x v="467"/>
    <x v="69"/>
    <x v="334"/>
    <x v="4"/>
  </r>
  <r>
    <x v="0"/>
    <x v="43"/>
    <x v="43"/>
    <x v="0"/>
    <x v="0"/>
    <x v="0"/>
    <x v="2"/>
    <x v="124"/>
    <x v="287"/>
    <x v="119"/>
    <x v="68"/>
    <x v="45"/>
    <x v="335"/>
    <x v="4"/>
  </r>
  <r>
    <x v="0"/>
    <x v="43"/>
    <x v="43"/>
    <x v="2"/>
    <x v="2"/>
    <x v="2"/>
    <x v="3"/>
    <x v="136"/>
    <x v="257"/>
    <x v="123"/>
    <x v="468"/>
    <x v="51"/>
    <x v="175"/>
    <x v="4"/>
  </r>
  <r>
    <x v="0"/>
    <x v="43"/>
    <x v="43"/>
    <x v="8"/>
    <x v="8"/>
    <x v="8"/>
    <x v="4"/>
    <x v="138"/>
    <x v="209"/>
    <x v="43"/>
    <x v="469"/>
    <x v="118"/>
    <x v="32"/>
    <x v="4"/>
  </r>
  <r>
    <x v="0"/>
    <x v="43"/>
    <x v="43"/>
    <x v="6"/>
    <x v="6"/>
    <x v="6"/>
    <x v="5"/>
    <x v="140"/>
    <x v="288"/>
    <x v="32"/>
    <x v="164"/>
    <x v="121"/>
    <x v="288"/>
    <x v="4"/>
  </r>
  <r>
    <x v="0"/>
    <x v="43"/>
    <x v="43"/>
    <x v="5"/>
    <x v="5"/>
    <x v="5"/>
    <x v="6"/>
    <x v="142"/>
    <x v="130"/>
    <x v="128"/>
    <x v="470"/>
    <x v="74"/>
    <x v="152"/>
    <x v="4"/>
  </r>
  <r>
    <x v="0"/>
    <x v="43"/>
    <x v="43"/>
    <x v="53"/>
    <x v="53"/>
    <x v="53"/>
    <x v="7"/>
    <x v="210"/>
    <x v="284"/>
    <x v="56"/>
    <x v="430"/>
    <x v="63"/>
    <x v="103"/>
    <x v="4"/>
  </r>
  <r>
    <x v="0"/>
    <x v="43"/>
    <x v="43"/>
    <x v="4"/>
    <x v="4"/>
    <x v="4"/>
    <x v="8"/>
    <x v="220"/>
    <x v="167"/>
    <x v="118"/>
    <x v="471"/>
    <x v="51"/>
    <x v="175"/>
    <x v="4"/>
  </r>
  <r>
    <x v="0"/>
    <x v="43"/>
    <x v="43"/>
    <x v="11"/>
    <x v="11"/>
    <x v="11"/>
    <x v="9"/>
    <x v="222"/>
    <x v="276"/>
    <x v="48"/>
    <x v="389"/>
    <x v="124"/>
    <x v="214"/>
    <x v="4"/>
  </r>
  <r>
    <x v="0"/>
    <x v="43"/>
    <x v="43"/>
    <x v="48"/>
    <x v="48"/>
    <x v="48"/>
    <x v="10"/>
    <x v="227"/>
    <x v="94"/>
    <x v="116"/>
    <x v="336"/>
    <x v="64"/>
    <x v="332"/>
    <x v="4"/>
  </r>
  <r>
    <x v="0"/>
    <x v="43"/>
    <x v="43"/>
    <x v="9"/>
    <x v="9"/>
    <x v="9"/>
    <x v="10"/>
    <x v="227"/>
    <x v="94"/>
    <x v="66"/>
    <x v="72"/>
    <x v="70"/>
    <x v="336"/>
    <x v="4"/>
  </r>
  <r>
    <x v="0"/>
    <x v="43"/>
    <x v="43"/>
    <x v="50"/>
    <x v="50"/>
    <x v="50"/>
    <x v="12"/>
    <x v="228"/>
    <x v="47"/>
    <x v="81"/>
    <x v="342"/>
    <x v="118"/>
    <x v="32"/>
    <x v="4"/>
  </r>
  <r>
    <x v="0"/>
    <x v="43"/>
    <x v="43"/>
    <x v="7"/>
    <x v="7"/>
    <x v="7"/>
    <x v="12"/>
    <x v="228"/>
    <x v="47"/>
    <x v="56"/>
    <x v="430"/>
    <x v="121"/>
    <x v="288"/>
    <x v="4"/>
  </r>
  <r>
    <x v="0"/>
    <x v="43"/>
    <x v="43"/>
    <x v="16"/>
    <x v="16"/>
    <x v="16"/>
    <x v="12"/>
    <x v="228"/>
    <x v="47"/>
    <x v="95"/>
    <x v="311"/>
    <x v="54"/>
    <x v="299"/>
    <x v="4"/>
  </r>
  <r>
    <x v="0"/>
    <x v="43"/>
    <x v="43"/>
    <x v="14"/>
    <x v="14"/>
    <x v="14"/>
    <x v="15"/>
    <x v="229"/>
    <x v="87"/>
    <x v="61"/>
    <x v="357"/>
    <x v="124"/>
    <x v="214"/>
    <x v="4"/>
  </r>
  <r>
    <x v="0"/>
    <x v="43"/>
    <x v="43"/>
    <x v="13"/>
    <x v="13"/>
    <x v="13"/>
    <x v="15"/>
    <x v="229"/>
    <x v="87"/>
    <x v="53"/>
    <x v="353"/>
    <x v="122"/>
    <x v="192"/>
    <x v="4"/>
  </r>
  <r>
    <x v="0"/>
    <x v="43"/>
    <x v="43"/>
    <x v="15"/>
    <x v="15"/>
    <x v="15"/>
    <x v="15"/>
    <x v="229"/>
    <x v="87"/>
    <x v="88"/>
    <x v="318"/>
    <x v="54"/>
    <x v="299"/>
    <x v="4"/>
  </r>
  <r>
    <x v="0"/>
    <x v="43"/>
    <x v="43"/>
    <x v="10"/>
    <x v="10"/>
    <x v="10"/>
    <x v="15"/>
    <x v="229"/>
    <x v="87"/>
    <x v="88"/>
    <x v="318"/>
    <x v="54"/>
    <x v="299"/>
    <x v="4"/>
  </r>
  <r>
    <x v="0"/>
    <x v="43"/>
    <x v="43"/>
    <x v="3"/>
    <x v="3"/>
    <x v="3"/>
    <x v="15"/>
    <x v="229"/>
    <x v="87"/>
    <x v="56"/>
    <x v="430"/>
    <x v="154"/>
    <x v="267"/>
    <x v="4"/>
  </r>
  <r>
    <x v="0"/>
    <x v="44"/>
    <x v="44"/>
    <x v="0"/>
    <x v="0"/>
    <x v="0"/>
    <x v="0"/>
    <x v="119"/>
    <x v="289"/>
    <x v="175"/>
    <x v="472"/>
    <x v="59"/>
    <x v="337"/>
    <x v="4"/>
  </r>
  <r>
    <x v="0"/>
    <x v="44"/>
    <x v="44"/>
    <x v="2"/>
    <x v="2"/>
    <x v="2"/>
    <x v="1"/>
    <x v="123"/>
    <x v="290"/>
    <x v="45"/>
    <x v="473"/>
    <x v="99"/>
    <x v="128"/>
    <x v="4"/>
  </r>
  <r>
    <x v="0"/>
    <x v="44"/>
    <x v="44"/>
    <x v="1"/>
    <x v="1"/>
    <x v="1"/>
    <x v="2"/>
    <x v="126"/>
    <x v="291"/>
    <x v="51"/>
    <x v="474"/>
    <x v="54"/>
    <x v="136"/>
    <x v="4"/>
  </r>
  <r>
    <x v="0"/>
    <x v="44"/>
    <x v="44"/>
    <x v="3"/>
    <x v="3"/>
    <x v="3"/>
    <x v="3"/>
    <x v="136"/>
    <x v="292"/>
    <x v="108"/>
    <x v="346"/>
    <x v="121"/>
    <x v="244"/>
    <x v="4"/>
  </r>
  <r>
    <x v="0"/>
    <x v="44"/>
    <x v="44"/>
    <x v="7"/>
    <x v="7"/>
    <x v="7"/>
    <x v="4"/>
    <x v="208"/>
    <x v="190"/>
    <x v="165"/>
    <x v="475"/>
    <x v="121"/>
    <x v="244"/>
    <x v="4"/>
  </r>
  <r>
    <x v="0"/>
    <x v="44"/>
    <x v="44"/>
    <x v="5"/>
    <x v="5"/>
    <x v="5"/>
    <x v="5"/>
    <x v="138"/>
    <x v="293"/>
    <x v="176"/>
    <x v="257"/>
    <x v="51"/>
    <x v="10"/>
    <x v="4"/>
  </r>
  <r>
    <x v="0"/>
    <x v="44"/>
    <x v="44"/>
    <x v="6"/>
    <x v="6"/>
    <x v="6"/>
    <x v="6"/>
    <x v="141"/>
    <x v="138"/>
    <x v="128"/>
    <x v="476"/>
    <x v="54"/>
    <x v="136"/>
    <x v="4"/>
  </r>
  <r>
    <x v="0"/>
    <x v="44"/>
    <x v="44"/>
    <x v="4"/>
    <x v="4"/>
    <x v="4"/>
    <x v="7"/>
    <x v="211"/>
    <x v="260"/>
    <x v="101"/>
    <x v="384"/>
    <x v="51"/>
    <x v="10"/>
    <x v="4"/>
  </r>
  <r>
    <x v="0"/>
    <x v="44"/>
    <x v="44"/>
    <x v="9"/>
    <x v="9"/>
    <x v="9"/>
    <x v="8"/>
    <x v="222"/>
    <x v="193"/>
    <x v="61"/>
    <x v="431"/>
    <x v="70"/>
    <x v="172"/>
    <x v="4"/>
  </r>
  <r>
    <x v="0"/>
    <x v="44"/>
    <x v="44"/>
    <x v="33"/>
    <x v="33"/>
    <x v="33"/>
    <x v="9"/>
    <x v="225"/>
    <x v="110"/>
    <x v="95"/>
    <x v="283"/>
    <x v="118"/>
    <x v="168"/>
    <x v="4"/>
  </r>
  <r>
    <x v="0"/>
    <x v="44"/>
    <x v="44"/>
    <x v="10"/>
    <x v="10"/>
    <x v="10"/>
    <x v="9"/>
    <x v="225"/>
    <x v="110"/>
    <x v="76"/>
    <x v="249"/>
    <x v="78"/>
    <x v="235"/>
    <x v="4"/>
  </r>
  <r>
    <x v="0"/>
    <x v="44"/>
    <x v="44"/>
    <x v="19"/>
    <x v="19"/>
    <x v="19"/>
    <x v="11"/>
    <x v="227"/>
    <x v="188"/>
    <x v="77"/>
    <x v="477"/>
    <x v="81"/>
    <x v="82"/>
    <x v="4"/>
  </r>
  <r>
    <x v="0"/>
    <x v="44"/>
    <x v="44"/>
    <x v="14"/>
    <x v="14"/>
    <x v="14"/>
    <x v="12"/>
    <x v="226"/>
    <x v="72"/>
    <x v="49"/>
    <x v="90"/>
    <x v="90"/>
    <x v="338"/>
    <x v="4"/>
  </r>
  <r>
    <x v="0"/>
    <x v="44"/>
    <x v="44"/>
    <x v="8"/>
    <x v="8"/>
    <x v="8"/>
    <x v="13"/>
    <x v="228"/>
    <x v="85"/>
    <x v="95"/>
    <x v="283"/>
    <x v="54"/>
    <x v="136"/>
    <x v="4"/>
  </r>
  <r>
    <x v="0"/>
    <x v="44"/>
    <x v="44"/>
    <x v="21"/>
    <x v="21"/>
    <x v="21"/>
    <x v="13"/>
    <x v="228"/>
    <x v="85"/>
    <x v="61"/>
    <x v="431"/>
    <x v="99"/>
    <x v="128"/>
    <x v="4"/>
  </r>
  <r>
    <x v="0"/>
    <x v="44"/>
    <x v="44"/>
    <x v="16"/>
    <x v="16"/>
    <x v="16"/>
    <x v="15"/>
    <x v="229"/>
    <x v="74"/>
    <x v="58"/>
    <x v="127"/>
    <x v="118"/>
    <x v="168"/>
    <x v="4"/>
  </r>
  <r>
    <x v="0"/>
    <x v="44"/>
    <x v="44"/>
    <x v="15"/>
    <x v="15"/>
    <x v="15"/>
    <x v="16"/>
    <x v="230"/>
    <x v="14"/>
    <x v="116"/>
    <x v="191"/>
    <x v="122"/>
    <x v="91"/>
    <x v="4"/>
  </r>
  <r>
    <x v="0"/>
    <x v="44"/>
    <x v="44"/>
    <x v="18"/>
    <x v="18"/>
    <x v="18"/>
    <x v="17"/>
    <x v="231"/>
    <x v="294"/>
    <x v="66"/>
    <x v="72"/>
    <x v="63"/>
    <x v="65"/>
    <x v="4"/>
  </r>
  <r>
    <x v="0"/>
    <x v="44"/>
    <x v="44"/>
    <x v="41"/>
    <x v="41"/>
    <x v="41"/>
    <x v="17"/>
    <x v="231"/>
    <x v="294"/>
    <x v="81"/>
    <x v="407"/>
    <x v="74"/>
    <x v="85"/>
    <x v="4"/>
  </r>
  <r>
    <x v="0"/>
    <x v="44"/>
    <x v="44"/>
    <x v="20"/>
    <x v="20"/>
    <x v="20"/>
    <x v="17"/>
    <x v="231"/>
    <x v="294"/>
    <x v="95"/>
    <x v="283"/>
    <x v="154"/>
    <x v="267"/>
    <x v="4"/>
  </r>
  <r>
    <x v="0"/>
    <x v="45"/>
    <x v="45"/>
    <x v="0"/>
    <x v="0"/>
    <x v="0"/>
    <x v="0"/>
    <x v="101"/>
    <x v="295"/>
    <x v="137"/>
    <x v="478"/>
    <x v="89"/>
    <x v="339"/>
    <x v="4"/>
  </r>
  <r>
    <x v="0"/>
    <x v="45"/>
    <x v="45"/>
    <x v="1"/>
    <x v="1"/>
    <x v="1"/>
    <x v="1"/>
    <x v="121"/>
    <x v="195"/>
    <x v="126"/>
    <x v="395"/>
    <x v="118"/>
    <x v="83"/>
    <x v="4"/>
  </r>
  <r>
    <x v="0"/>
    <x v="45"/>
    <x v="45"/>
    <x v="2"/>
    <x v="2"/>
    <x v="2"/>
    <x v="2"/>
    <x v="130"/>
    <x v="296"/>
    <x v="45"/>
    <x v="479"/>
    <x v="78"/>
    <x v="87"/>
    <x v="4"/>
  </r>
  <r>
    <x v="0"/>
    <x v="45"/>
    <x v="45"/>
    <x v="8"/>
    <x v="8"/>
    <x v="8"/>
    <x v="3"/>
    <x v="132"/>
    <x v="218"/>
    <x v="101"/>
    <x v="480"/>
    <x v="56"/>
    <x v="340"/>
    <x v="4"/>
  </r>
  <r>
    <x v="0"/>
    <x v="45"/>
    <x v="45"/>
    <x v="5"/>
    <x v="5"/>
    <x v="5"/>
    <x v="3"/>
    <x v="132"/>
    <x v="218"/>
    <x v="165"/>
    <x v="316"/>
    <x v="78"/>
    <x v="87"/>
    <x v="4"/>
  </r>
  <r>
    <x v="0"/>
    <x v="45"/>
    <x v="45"/>
    <x v="3"/>
    <x v="3"/>
    <x v="3"/>
    <x v="5"/>
    <x v="136"/>
    <x v="232"/>
    <x v="165"/>
    <x v="316"/>
    <x v="54"/>
    <x v="325"/>
    <x v="4"/>
  </r>
  <r>
    <x v="0"/>
    <x v="45"/>
    <x v="45"/>
    <x v="6"/>
    <x v="6"/>
    <x v="6"/>
    <x v="6"/>
    <x v="134"/>
    <x v="224"/>
    <x v="105"/>
    <x v="481"/>
    <x v="78"/>
    <x v="87"/>
    <x v="4"/>
  </r>
  <r>
    <x v="0"/>
    <x v="45"/>
    <x v="45"/>
    <x v="11"/>
    <x v="11"/>
    <x v="11"/>
    <x v="7"/>
    <x v="139"/>
    <x v="24"/>
    <x v="53"/>
    <x v="185"/>
    <x v="56"/>
    <x v="340"/>
    <x v="1"/>
  </r>
  <r>
    <x v="0"/>
    <x v="45"/>
    <x v="45"/>
    <x v="15"/>
    <x v="15"/>
    <x v="15"/>
    <x v="8"/>
    <x v="224"/>
    <x v="193"/>
    <x v="74"/>
    <x v="284"/>
    <x v="68"/>
    <x v="30"/>
    <x v="4"/>
  </r>
  <r>
    <x v="0"/>
    <x v="45"/>
    <x v="45"/>
    <x v="9"/>
    <x v="9"/>
    <x v="9"/>
    <x v="8"/>
    <x v="224"/>
    <x v="193"/>
    <x v="53"/>
    <x v="185"/>
    <x v="77"/>
    <x v="255"/>
    <x v="4"/>
  </r>
  <r>
    <x v="0"/>
    <x v="45"/>
    <x v="45"/>
    <x v="12"/>
    <x v="12"/>
    <x v="12"/>
    <x v="10"/>
    <x v="141"/>
    <x v="181"/>
    <x v="53"/>
    <x v="185"/>
    <x v="119"/>
    <x v="212"/>
    <x v="4"/>
  </r>
  <r>
    <x v="0"/>
    <x v="45"/>
    <x v="45"/>
    <x v="16"/>
    <x v="16"/>
    <x v="16"/>
    <x v="11"/>
    <x v="210"/>
    <x v="26"/>
    <x v="101"/>
    <x v="480"/>
    <x v="118"/>
    <x v="83"/>
    <x v="4"/>
  </r>
  <r>
    <x v="0"/>
    <x v="45"/>
    <x v="45"/>
    <x v="14"/>
    <x v="14"/>
    <x v="14"/>
    <x v="12"/>
    <x v="220"/>
    <x v="46"/>
    <x v="49"/>
    <x v="64"/>
    <x v="47"/>
    <x v="220"/>
    <x v="4"/>
  </r>
  <r>
    <x v="0"/>
    <x v="45"/>
    <x v="45"/>
    <x v="13"/>
    <x v="13"/>
    <x v="13"/>
    <x v="12"/>
    <x v="220"/>
    <x v="46"/>
    <x v="81"/>
    <x v="57"/>
    <x v="68"/>
    <x v="30"/>
    <x v="4"/>
  </r>
  <r>
    <x v="0"/>
    <x v="45"/>
    <x v="45"/>
    <x v="10"/>
    <x v="10"/>
    <x v="10"/>
    <x v="12"/>
    <x v="220"/>
    <x v="46"/>
    <x v="76"/>
    <x v="86"/>
    <x v="124"/>
    <x v="47"/>
    <x v="4"/>
  </r>
  <r>
    <x v="0"/>
    <x v="45"/>
    <x v="45"/>
    <x v="4"/>
    <x v="4"/>
    <x v="4"/>
    <x v="12"/>
    <x v="220"/>
    <x v="46"/>
    <x v="101"/>
    <x v="480"/>
    <x v="78"/>
    <x v="87"/>
    <x v="4"/>
  </r>
  <r>
    <x v="0"/>
    <x v="45"/>
    <x v="45"/>
    <x v="48"/>
    <x v="48"/>
    <x v="48"/>
    <x v="16"/>
    <x v="211"/>
    <x v="225"/>
    <x v="53"/>
    <x v="185"/>
    <x v="70"/>
    <x v="142"/>
    <x v="4"/>
  </r>
  <r>
    <x v="0"/>
    <x v="45"/>
    <x v="45"/>
    <x v="50"/>
    <x v="50"/>
    <x v="50"/>
    <x v="17"/>
    <x v="221"/>
    <x v="29"/>
    <x v="53"/>
    <x v="185"/>
    <x v="68"/>
    <x v="30"/>
    <x v="4"/>
  </r>
  <r>
    <x v="0"/>
    <x v="45"/>
    <x v="45"/>
    <x v="21"/>
    <x v="21"/>
    <x v="21"/>
    <x v="18"/>
    <x v="225"/>
    <x v="182"/>
    <x v="49"/>
    <x v="64"/>
    <x v="70"/>
    <x v="142"/>
    <x v="4"/>
  </r>
  <r>
    <x v="0"/>
    <x v="45"/>
    <x v="45"/>
    <x v="32"/>
    <x v="32"/>
    <x v="32"/>
    <x v="19"/>
    <x v="227"/>
    <x v="34"/>
    <x v="81"/>
    <x v="57"/>
    <x v="63"/>
    <x v="274"/>
    <x v="4"/>
  </r>
  <r>
    <x v="0"/>
    <x v="45"/>
    <x v="45"/>
    <x v="45"/>
    <x v="45"/>
    <x v="45"/>
    <x v="19"/>
    <x v="227"/>
    <x v="34"/>
    <x v="58"/>
    <x v="124"/>
    <x v="124"/>
    <x v="47"/>
    <x v="4"/>
  </r>
  <r>
    <x v="0"/>
    <x v="45"/>
    <x v="45"/>
    <x v="19"/>
    <x v="19"/>
    <x v="19"/>
    <x v="19"/>
    <x v="227"/>
    <x v="34"/>
    <x v="77"/>
    <x v="134"/>
    <x v="81"/>
    <x v="294"/>
    <x v="4"/>
  </r>
  <r>
    <x v="0"/>
    <x v="46"/>
    <x v="46"/>
    <x v="0"/>
    <x v="0"/>
    <x v="0"/>
    <x v="0"/>
    <x v="98"/>
    <x v="297"/>
    <x v="123"/>
    <x v="482"/>
    <x v="53"/>
    <x v="341"/>
    <x v="4"/>
  </r>
  <r>
    <x v="0"/>
    <x v="46"/>
    <x v="46"/>
    <x v="1"/>
    <x v="1"/>
    <x v="1"/>
    <x v="1"/>
    <x v="90"/>
    <x v="298"/>
    <x v="150"/>
    <x v="483"/>
    <x v="97"/>
    <x v="97"/>
    <x v="4"/>
  </r>
  <r>
    <x v="0"/>
    <x v="46"/>
    <x v="46"/>
    <x v="2"/>
    <x v="2"/>
    <x v="2"/>
    <x v="2"/>
    <x v="70"/>
    <x v="222"/>
    <x v="133"/>
    <x v="484"/>
    <x v="70"/>
    <x v="205"/>
    <x v="4"/>
  </r>
  <r>
    <x v="0"/>
    <x v="46"/>
    <x v="46"/>
    <x v="8"/>
    <x v="8"/>
    <x v="8"/>
    <x v="3"/>
    <x v="152"/>
    <x v="266"/>
    <x v="143"/>
    <x v="291"/>
    <x v="61"/>
    <x v="173"/>
    <x v="4"/>
  </r>
  <r>
    <x v="0"/>
    <x v="46"/>
    <x v="46"/>
    <x v="5"/>
    <x v="5"/>
    <x v="5"/>
    <x v="4"/>
    <x v="132"/>
    <x v="117"/>
    <x v="78"/>
    <x v="485"/>
    <x v="54"/>
    <x v="146"/>
    <x v="4"/>
  </r>
  <r>
    <x v="0"/>
    <x v="46"/>
    <x v="46"/>
    <x v="3"/>
    <x v="3"/>
    <x v="3"/>
    <x v="5"/>
    <x v="126"/>
    <x v="185"/>
    <x v="51"/>
    <x v="486"/>
    <x v="54"/>
    <x v="146"/>
    <x v="4"/>
  </r>
  <r>
    <x v="0"/>
    <x v="46"/>
    <x v="46"/>
    <x v="12"/>
    <x v="12"/>
    <x v="12"/>
    <x v="6"/>
    <x v="138"/>
    <x v="70"/>
    <x v="66"/>
    <x v="72"/>
    <x v="75"/>
    <x v="331"/>
    <x v="4"/>
  </r>
  <r>
    <x v="0"/>
    <x v="46"/>
    <x v="46"/>
    <x v="19"/>
    <x v="19"/>
    <x v="19"/>
    <x v="6"/>
    <x v="138"/>
    <x v="70"/>
    <x v="101"/>
    <x v="323"/>
    <x v="68"/>
    <x v="106"/>
    <x v="4"/>
  </r>
  <r>
    <x v="0"/>
    <x v="46"/>
    <x v="46"/>
    <x v="6"/>
    <x v="6"/>
    <x v="6"/>
    <x v="8"/>
    <x v="224"/>
    <x v="161"/>
    <x v="32"/>
    <x v="277"/>
    <x v="154"/>
    <x v="267"/>
    <x v="4"/>
  </r>
  <r>
    <x v="0"/>
    <x v="46"/>
    <x v="46"/>
    <x v="14"/>
    <x v="14"/>
    <x v="14"/>
    <x v="9"/>
    <x v="141"/>
    <x v="188"/>
    <x v="53"/>
    <x v="167"/>
    <x v="47"/>
    <x v="11"/>
    <x v="1"/>
  </r>
  <r>
    <x v="0"/>
    <x v="46"/>
    <x v="46"/>
    <x v="13"/>
    <x v="13"/>
    <x v="13"/>
    <x v="9"/>
    <x v="141"/>
    <x v="188"/>
    <x v="58"/>
    <x v="184"/>
    <x v="47"/>
    <x v="11"/>
    <x v="4"/>
  </r>
  <r>
    <x v="0"/>
    <x v="46"/>
    <x v="46"/>
    <x v="15"/>
    <x v="15"/>
    <x v="15"/>
    <x v="9"/>
    <x v="141"/>
    <x v="188"/>
    <x v="76"/>
    <x v="328"/>
    <x v="68"/>
    <x v="106"/>
    <x v="4"/>
  </r>
  <r>
    <x v="0"/>
    <x v="46"/>
    <x v="46"/>
    <x v="51"/>
    <x v="51"/>
    <x v="51"/>
    <x v="12"/>
    <x v="210"/>
    <x v="47"/>
    <x v="66"/>
    <x v="72"/>
    <x v="77"/>
    <x v="247"/>
    <x v="4"/>
  </r>
  <r>
    <x v="0"/>
    <x v="46"/>
    <x v="46"/>
    <x v="18"/>
    <x v="18"/>
    <x v="18"/>
    <x v="12"/>
    <x v="210"/>
    <x v="47"/>
    <x v="61"/>
    <x v="12"/>
    <x v="47"/>
    <x v="11"/>
    <x v="4"/>
  </r>
  <r>
    <x v="0"/>
    <x v="46"/>
    <x v="46"/>
    <x v="53"/>
    <x v="53"/>
    <x v="53"/>
    <x v="14"/>
    <x v="220"/>
    <x v="48"/>
    <x v="116"/>
    <x v="243"/>
    <x v="97"/>
    <x v="97"/>
    <x v="4"/>
  </r>
  <r>
    <x v="0"/>
    <x v="46"/>
    <x v="46"/>
    <x v="9"/>
    <x v="9"/>
    <x v="9"/>
    <x v="14"/>
    <x v="220"/>
    <x v="48"/>
    <x v="116"/>
    <x v="243"/>
    <x v="97"/>
    <x v="97"/>
    <x v="4"/>
  </r>
  <r>
    <x v="0"/>
    <x v="46"/>
    <x v="46"/>
    <x v="21"/>
    <x v="21"/>
    <x v="21"/>
    <x v="14"/>
    <x v="220"/>
    <x v="48"/>
    <x v="66"/>
    <x v="72"/>
    <x v="119"/>
    <x v="240"/>
    <x v="4"/>
  </r>
  <r>
    <x v="0"/>
    <x v="46"/>
    <x v="46"/>
    <x v="16"/>
    <x v="16"/>
    <x v="16"/>
    <x v="17"/>
    <x v="211"/>
    <x v="12"/>
    <x v="88"/>
    <x v="36"/>
    <x v="99"/>
    <x v="274"/>
    <x v="4"/>
  </r>
  <r>
    <x v="0"/>
    <x v="46"/>
    <x v="46"/>
    <x v="36"/>
    <x v="36"/>
    <x v="36"/>
    <x v="17"/>
    <x v="211"/>
    <x v="12"/>
    <x v="88"/>
    <x v="36"/>
    <x v="99"/>
    <x v="274"/>
    <x v="4"/>
  </r>
  <r>
    <x v="0"/>
    <x v="46"/>
    <x v="46"/>
    <x v="32"/>
    <x v="32"/>
    <x v="32"/>
    <x v="19"/>
    <x v="221"/>
    <x v="13"/>
    <x v="81"/>
    <x v="147"/>
    <x v="64"/>
    <x v="110"/>
    <x v="4"/>
  </r>
  <r>
    <x v="0"/>
    <x v="47"/>
    <x v="47"/>
    <x v="1"/>
    <x v="1"/>
    <x v="1"/>
    <x v="0"/>
    <x v="65"/>
    <x v="282"/>
    <x v="113"/>
    <x v="487"/>
    <x v="78"/>
    <x v="250"/>
    <x v="4"/>
  </r>
  <r>
    <x v="0"/>
    <x v="47"/>
    <x v="47"/>
    <x v="6"/>
    <x v="6"/>
    <x v="6"/>
    <x v="1"/>
    <x v="121"/>
    <x v="235"/>
    <x v="122"/>
    <x v="488"/>
    <x v="154"/>
    <x v="267"/>
    <x v="4"/>
  </r>
  <r>
    <x v="0"/>
    <x v="47"/>
    <x v="47"/>
    <x v="3"/>
    <x v="3"/>
    <x v="3"/>
    <x v="2"/>
    <x v="130"/>
    <x v="209"/>
    <x v="79"/>
    <x v="287"/>
    <x v="54"/>
    <x v="254"/>
    <x v="4"/>
  </r>
  <r>
    <x v="0"/>
    <x v="47"/>
    <x v="47"/>
    <x v="33"/>
    <x v="33"/>
    <x v="33"/>
    <x v="3"/>
    <x v="126"/>
    <x v="170"/>
    <x v="43"/>
    <x v="489"/>
    <x v="68"/>
    <x v="318"/>
    <x v="4"/>
  </r>
  <r>
    <x v="0"/>
    <x v="47"/>
    <x v="47"/>
    <x v="8"/>
    <x v="8"/>
    <x v="8"/>
    <x v="4"/>
    <x v="134"/>
    <x v="159"/>
    <x v="105"/>
    <x v="490"/>
    <x v="78"/>
    <x v="250"/>
    <x v="4"/>
  </r>
  <r>
    <x v="0"/>
    <x v="47"/>
    <x v="47"/>
    <x v="14"/>
    <x v="14"/>
    <x v="14"/>
    <x v="5"/>
    <x v="208"/>
    <x v="224"/>
    <x v="48"/>
    <x v="442"/>
    <x v="44"/>
    <x v="342"/>
    <x v="4"/>
  </r>
  <r>
    <x v="0"/>
    <x v="47"/>
    <x v="47"/>
    <x v="2"/>
    <x v="2"/>
    <x v="2"/>
    <x v="6"/>
    <x v="137"/>
    <x v="155"/>
    <x v="105"/>
    <x v="490"/>
    <x v="54"/>
    <x v="254"/>
    <x v="4"/>
  </r>
  <r>
    <x v="0"/>
    <x v="47"/>
    <x v="47"/>
    <x v="12"/>
    <x v="12"/>
    <x v="12"/>
    <x v="7"/>
    <x v="219"/>
    <x v="251"/>
    <x v="76"/>
    <x v="463"/>
    <x v="47"/>
    <x v="54"/>
    <x v="4"/>
  </r>
  <r>
    <x v="0"/>
    <x v="47"/>
    <x v="47"/>
    <x v="53"/>
    <x v="53"/>
    <x v="53"/>
    <x v="8"/>
    <x v="138"/>
    <x v="44"/>
    <x v="76"/>
    <x v="463"/>
    <x v="80"/>
    <x v="343"/>
    <x v="4"/>
  </r>
  <r>
    <x v="0"/>
    <x v="47"/>
    <x v="47"/>
    <x v="4"/>
    <x v="4"/>
    <x v="4"/>
    <x v="8"/>
    <x v="138"/>
    <x v="44"/>
    <x v="176"/>
    <x v="143"/>
    <x v="51"/>
    <x v="83"/>
    <x v="4"/>
  </r>
  <r>
    <x v="0"/>
    <x v="47"/>
    <x v="47"/>
    <x v="7"/>
    <x v="7"/>
    <x v="7"/>
    <x v="8"/>
    <x v="138"/>
    <x v="44"/>
    <x v="176"/>
    <x v="143"/>
    <x v="51"/>
    <x v="83"/>
    <x v="4"/>
  </r>
  <r>
    <x v="0"/>
    <x v="47"/>
    <x v="47"/>
    <x v="66"/>
    <x v="66"/>
    <x v="66"/>
    <x v="11"/>
    <x v="224"/>
    <x v="108"/>
    <x v="88"/>
    <x v="282"/>
    <x v="97"/>
    <x v="344"/>
    <x v="4"/>
  </r>
  <r>
    <x v="0"/>
    <x v="47"/>
    <x v="47"/>
    <x v="5"/>
    <x v="5"/>
    <x v="5"/>
    <x v="12"/>
    <x v="141"/>
    <x v="132"/>
    <x v="176"/>
    <x v="143"/>
    <x v="121"/>
    <x v="31"/>
    <x v="4"/>
  </r>
  <r>
    <x v="0"/>
    <x v="47"/>
    <x v="47"/>
    <x v="46"/>
    <x v="46"/>
    <x v="46"/>
    <x v="13"/>
    <x v="209"/>
    <x v="121"/>
    <x v="56"/>
    <x v="230"/>
    <x v="124"/>
    <x v="13"/>
    <x v="4"/>
  </r>
  <r>
    <x v="0"/>
    <x v="47"/>
    <x v="47"/>
    <x v="58"/>
    <x v="58"/>
    <x v="58"/>
    <x v="14"/>
    <x v="210"/>
    <x v="9"/>
    <x v="118"/>
    <x v="280"/>
    <x v="78"/>
    <x v="250"/>
    <x v="4"/>
  </r>
  <r>
    <x v="0"/>
    <x v="47"/>
    <x v="47"/>
    <x v="70"/>
    <x v="70"/>
    <x v="70"/>
    <x v="14"/>
    <x v="210"/>
    <x v="9"/>
    <x v="118"/>
    <x v="280"/>
    <x v="78"/>
    <x v="250"/>
    <x v="4"/>
  </r>
  <r>
    <x v="0"/>
    <x v="47"/>
    <x v="47"/>
    <x v="71"/>
    <x v="71"/>
    <x v="71"/>
    <x v="14"/>
    <x v="210"/>
    <x v="9"/>
    <x v="66"/>
    <x v="72"/>
    <x v="121"/>
    <x v="31"/>
    <x v="4"/>
  </r>
  <r>
    <x v="0"/>
    <x v="47"/>
    <x v="47"/>
    <x v="10"/>
    <x v="10"/>
    <x v="10"/>
    <x v="17"/>
    <x v="220"/>
    <x v="10"/>
    <x v="101"/>
    <x v="366"/>
    <x v="78"/>
    <x v="250"/>
    <x v="4"/>
  </r>
  <r>
    <x v="0"/>
    <x v="47"/>
    <x v="47"/>
    <x v="39"/>
    <x v="39"/>
    <x v="39"/>
    <x v="18"/>
    <x v="221"/>
    <x v="27"/>
    <x v="74"/>
    <x v="491"/>
    <x v="118"/>
    <x v="110"/>
    <x v="4"/>
  </r>
  <r>
    <x v="0"/>
    <x v="47"/>
    <x v="47"/>
    <x v="15"/>
    <x v="15"/>
    <x v="15"/>
    <x v="18"/>
    <x v="221"/>
    <x v="27"/>
    <x v="88"/>
    <x v="282"/>
    <x v="124"/>
    <x v="13"/>
    <x v="4"/>
  </r>
  <r>
    <x v="0"/>
    <x v="48"/>
    <x v="48"/>
    <x v="3"/>
    <x v="3"/>
    <x v="3"/>
    <x v="0"/>
    <x v="122"/>
    <x v="299"/>
    <x v="63"/>
    <x v="492"/>
    <x v="74"/>
    <x v="260"/>
    <x v="4"/>
  </r>
  <r>
    <x v="0"/>
    <x v="48"/>
    <x v="48"/>
    <x v="1"/>
    <x v="1"/>
    <x v="1"/>
    <x v="1"/>
    <x v="71"/>
    <x v="300"/>
    <x v="98"/>
    <x v="60"/>
    <x v="54"/>
    <x v="85"/>
    <x v="4"/>
  </r>
  <r>
    <x v="0"/>
    <x v="48"/>
    <x v="48"/>
    <x v="0"/>
    <x v="0"/>
    <x v="0"/>
    <x v="2"/>
    <x v="132"/>
    <x v="275"/>
    <x v="138"/>
    <x v="493"/>
    <x v="64"/>
    <x v="65"/>
    <x v="4"/>
  </r>
  <r>
    <x v="0"/>
    <x v="48"/>
    <x v="48"/>
    <x v="2"/>
    <x v="2"/>
    <x v="2"/>
    <x v="3"/>
    <x v="134"/>
    <x v="130"/>
    <x v="134"/>
    <x v="470"/>
    <x v="51"/>
    <x v="92"/>
    <x v="4"/>
  </r>
  <r>
    <x v="0"/>
    <x v="48"/>
    <x v="48"/>
    <x v="5"/>
    <x v="5"/>
    <x v="5"/>
    <x v="4"/>
    <x v="208"/>
    <x v="240"/>
    <x v="117"/>
    <x v="180"/>
    <x v="74"/>
    <x v="260"/>
    <x v="4"/>
  </r>
  <r>
    <x v="0"/>
    <x v="48"/>
    <x v="48"/>
    <x v="6"/>
    <x v="6"/>
    <x v="6"/>
    <x v="5"/>
    <x v="139"/>
    <x v="237"/>
    <x v="134"/>
    <x v="470"/>
    <x v="154"/>
    <x v="267"/>
    <x v="4"/>
  </r>
  <r>
    <x v="0"/>
    <x v="48"/>
    <x v="48"/>
    <x v="54"/>
    <x v="54"/>
    <x v="54"/>
    <x v="6"/>
    <x v="224"/>
    <x v="192"/>
    <x v="101"/>
    <x v="63"/>
    <x v="99"/>
    <x v="97"/>
    <x v="4"/>
  </r>
  <r>
    <x v="0"/>
    <x v="48"/>
    <x v="48"/>
    <x v="36"/>
    <x v="36"/>
    <x v="36"/>
    <x v="7"/>
    <x v="141"/>
    <x v="211"/>
    <x v="128"/>
    <x v="384"/>
    <x v="54"/>
    <x v="85"/>
    <x v="4"/>
  </r>
  <r>
    <x v="0"/>
    <x v="48"/>
    <x v="48"/>
    <x v="11"/>
    <x v="11"/>
    <x v="11"/>
    <x v="8"/>
    <x v="209"/>
    <x v="160"/>
    <x v="81"/>
    <x v="494"/>
    <x v="45"/>
    <x v="252"/>
    <x v="4"/>
  </r>
  <r>
    <x v="0"/>
    <x v="48"/>
    <x v="48"/>
    <x v="13"/>
    <x v="13"/>
    <x v="13"/>
    <x v="8"/>
    <x v="209"/>
    <x v="160"/>
    <x v="76"/>
    <x v="491"/>
    <x v="64"/>
    <x v="65"/>
    <x v="4"/>
  </r>
  <r>
    <x v="0"/>
    <x v="48"/>
    <x v="48"/>
    <x v="14"/>
    <x v="14"/>
    <x v="14"/>
    <x v="10"/>
    <x v="210"/>
    <x v="281"/>
    <x v="116"/>
    <x v="33"/>
    <x v="80"/>
    <x v="245"/>
    <x v="4"/>
  </r>
  <r>
    <x v="0"/>
    <x v="48"/>
    <x v="48"/>
    <x v="8"/>
    <x v="8"/>
    <x v="8"/>
    <x v="10"/>
    <x v="210"/>
    <x v="281"/>
    <x v="143"/>
    <x v="29"/>
    <x v="51"/>
    <x v="92"/>
    <x v="4"/>
  </r>
  <r>
    <x v="0"/>
    <x v="48"/>
    <x v="48"/>
    <x v="4"/>
    <x v="4"/>
    <x v="4"/>
    <x v="12"/>
    <x v="220"/>
    <x v="61"/>
    <x v="118"/>
    <x v="295"/>
    <x v="51"/>
    <x v="92"/>
    <x v="4"/>
  </r>
  <r>
    <x v="0"/>
    <x v="48"/>
    <x v="48"/>
    <x v="47"/>
    <x v="47"/>
    <x v="47"/>
    <x v="13"/>
    <x v="211"/>
    <x v="149"/>
    <x v="88"/>
    <x v="409"/>
    <x v="99"/>
    <x v="97"/>
    <x v="4"/>
  </r>
  <r>
    <x v="0"/>
    <x v="48"/>
    <x v="48"/>
    <x v="52"/>
    <x v="52"/>
    <x v="52"/>
    <x v="14"/>
    <x v="222"/>
    <x v="29"/>
    <x v="95"/>
    <x v="495"/>
    <x v="122"/>
    <x v="235"/>
    <x v="4"/>
  </r>
  <r>
    <x v="0"/>
    <x v="48"/>
    <x v="48"/>
    <x v="16"/>
    <x v="16"/>
    <x v="16"/>
    <x v="14"/>
    <x v="222"/>
    <x v="29"/>
    <x v="74"/>
    <x v="230"/>
    <x v="78"/>
    <x v="163"/>
    <x v="4"/>
  </r>
  <r>
    <x v="0"/>
    <x v="48"/>
    <x v="48"/>
    <x v="12"/>
    <x v="12"/>
    <x v="12"/>
    <x v="16"/>
    <x v="225"/>
    <x v="242"/>
    <x v="58"/>
    <x v="343"/>
    <x v="99"/>
    <x v="97"/>
    <x v="4"/>
  </r>
  <r>
    <x v="0"/>
    <x v="48"/>
    <x v="48"/>
    <x v="53"/>
    <x v="53"/>
    <x v="53"/>
    <x v="16"/>
    <x v="225"/>
    <x v="242"/>
    <x v="95"/>
    <x v="495"/>
    <x v="118"/>
    <x v="242"/>
    <x v="4"/>
  </r>
  <r>
    <x v="0"/>
    <x v="48"/>
    <x v="48"/>
    <x v="44"/>
    <x v="44"/>
    <x v="44"/>
    <x v="16"/>
    <x v="225"/>
    <x v="242"/>
    <x v="53"/>
    <x v="336"/>
    <x v="64"/>
    <x v="65"/>
    <x v="4"/>
  </r>
  <r>
    <x v="0"/>
    <x v="48"/>
    <x v="48"/>
    <x v="65"/>
    <x v="65"/>
    <x v="65"/>
    <x v="19"/>
    <x v="227"/>
    <x v="182"/>
    <x v="88"/>
    <x v="409"/>
    <x v="118"/>
    <x v="242"/>
    <x v="4"/>
  </r>
  <r>
    <x v="0"/>
    <x v="49"/>
    <x v="49"/>
    <x v="0"/>
    <x v="0"/>
    <x v="0"/>
    <x v="0"/>
    <x v="128"/>
    <x v="222"/>
    <x v="143"/>
    <x v="206"/>
    <x v="123"/>
    <x v="345"/>
    <x v="4"/>
  </r>
  <r>
    <x v="0"/>
    <x v="49"/>
    <x v="49"/>
    <x v="1"/>
    <x v="1"/>
    <x v="1"/>
    <x v="1"/>
    <x v="154"/>
    <x v="301"/>
    <x v="55"/>
    <x v="75"/>
    <x v="54"/>
    <x v="146"/>
    <x v="4"/>
  </r>
  <r>
    <x v="0"/>
    <x v="49"/>
    <x v="49"/>
    <x v="3"/>
    <x v="3"/>
    <x v="3"/>
    <x v="2"/>
    <x v="71"/>
    <x v="145"/>
    <x v="131"/>
    <x v="56"/>
    <x v="121"/>
    <x v="298"/>
    <x v="4"/>
  </r>
  <r>
    <x v="0"/>
    <x v="49"/>
    <x v="49"/>
    <x v="11"/>
    <x v="11"/>
    <x v="11"/>
    <x v="3"/>
    <x v="124"/>
    <x v="54"/>
    <x v="76"/>
    <x v="298"/>
    <x v="75"/>
    <x v="346"/>
    <x v="4"/>
  </r>
  <r>
    <x v="0"/>
    <x v="49"/>
    <x v="49"/>
    <x v="6"/>
    <x v="6"/>
    <x v="6"/>
    <x v="4"/>
    <x v="132"/>
    <x v="41"/>
    <x v="133"/>
    <x v="496"/>
    <x v="121"/>
    <x v="298"/>
    <x v="4"/>
  </r>
  <r>
    <x v="0"/>
    <x v="49"/>
    <x v="49"/>
    <x v="8"/>
    <x v="8"/>
    <x v="8"/>
    <x v="5"/>
    <x v="208"/>
    <x v="7"/>
    <x v="100"/>
    <x v="339"/>
    <x v="68"/>
    <x v="347"/>
    <x v="4"/>
  </r>
  <r>
    <x v="0"/>
    <x v="49"/>
    <x v="49"/>
    <x v="4"/>
    <x v="4"/>
    <x v="4"/>
    <x v="5"/>
    <x v="208"/>
    <x v="7"/>
    <x v="43"/>
    <x v="88"/>
    <x v="124"/>
    <x v="190"/>
    <x v="4"/>
  </r>
  <r>
    <x v="0"/>
    <x v="49"/>
    <x v="49"/>
    <x v="5"/>
    <x v="5"/>
    <x v="5"/>
    <x v="5"/>
    <x v="208"/>
    <x v="7"/>
    <x v="123"/>
    <x v="497"/>
    <x v="81"/>
    <x v="131"/>
    <x v="4"/>
  </r>
  <r>
    <x v="0"/>
    <x v="49"/>
    <x v="49"/>
    <x v="2"/>
    <x v="2"/>
    <x v="2"/>
    <x v="8"/>
    <x v="137"/>
    <x v="211"/>
    <x v="32"/>
    <x v="112"/>
    <x v="54"/>
    <x v="146"/>
    <x v="1"/>
  </r>
  <r>
    <x v="0"/>
    <x v="49"/>
    <x v="49"/>
    <x v="13"/>
    <x v="13"/>
    <x v="13"/>
    <x v="9"/>
    <x v="139"/>
    <x v="161"/>
    <x v="53"/>
    <x v="207"/>
    <x v="84"/>
    <x v="314"/>
    <x v="4"/>
  </r>
  <r>
    <x v="0"/>
    <x v="49"/>
    <x v="49"/>
    <x v="10"/>
    <x v="10"/>
    <x v="10"/>
    <x v="10"/>
    <x v="224"/>
    <x v="95"/>
    <x v="128"/>
    <x v="20"/>
    <x v="51"/>
    <x v="297"/>
    <x v="4"/>
  </r>
  <r>
    <x v="0"/>
    <x v="49"/>
    <x v="49"/>
    <x v="36"/>
    <x v="36"/>
    <x v="36"/>
    <x v="11"/>
    <x v="141"/>
    <x v="111"/>
    <x v="74"/>
    <x v="51"/>
    <x v="90"/>
    <x v="37"/>
    <x v="4"/>
  </r>
  <r>
    <x v="0"/>
    <x v="49"/>
    <x v="49"/>
    <x v="18"/>
    <x v="18"/>
    <x v="18"/>
    <x v="12"/>
    <x v="220"/>
    <x v="242"/>
    <x v="48"/>
    <x v="17"/>
    <x v="90"/>
    <x v="37"/>
    <x v="4"/>
  </r>
  <r>
    <x v="0"/>
    <x v="49"/>
    <x v="49"/>
    <x v="9"/>
    <x v="9"/>
    <x v="9"/>
    <x v="12"/>
    <x v="220"/>
    <x v="242"/>
    <x v="49"/>
    <x v="498"/>
    <x v="47"/>
    <x v="29"/>
    <x v="4"/>
  </r>
  <r>
    <x v="0"/>
    <x v="49"/>
    <x v="49"/>
    <x v="12"/>
    <x v="12"/>
    <x v="12"/>
    <x v="14"/>
    <x v="211"/>
    <x v="134"/>
    <x v="49"/>
    <x v="498"/>
    <x v="80"/>
    <x v="192"/>
    <x v="4"/>
  </r>
  <r>
    <x v="0"/>
    <x v="49"/>
    <x v="49"/>
    <x v="51"/>
    <x v="51"/>
    <x v="51"/>
    <x v="14"/>
    <x v="211"/>
    <x v="134"/>
    <x v="61"/>
    <x v="464"/>
    <x v="97"/>
    <x v="166"/>
    <x v="4"/>
  </r>
  <r>
    <x v="0"/>
    <x v="49"/>
    <x v="49"/>
    <x v="21"/>
    <x v="21"/>
    <x v="21"/>
    <x v="14"/>
    <x v="211"/>
    <x v="134"/>
    <x v="66"/>
    <x v="72"/>
    <x v="47"/>
    <x v="29"/>
    <x v="4"/>
  </r>
  <r>
    <x v="0"/>
    <x v="49"/>
    <x v="49"/>
    <x v="24"/>
    <x v="24"/>
    <x v="24"/>
    <x v="17"/>
    <x v="221"/>
    <x v="33"/>
    <x v="49"/>
    <x v="498"/>
    <x v="97"/>
    <x v="166"/>
    <x v="4"/>
  </r>
  <r>
    <x v="0"/>
    <x v="49"/>
    <x v="49"/>
    <x v="14"/>
    <x v="14"/>
    <x v="14"/>
    <x v="18"/>
    <x v="222"/>
    <x v="126"/>
    <x v="49"/>
    <x v="498"/>
    <x v="45"/>
    <x v="33"/>
    <x v="4"/>
  </r>
  <r>
    <x v="0"/>
    <x v="49"/>
    <x v="49"/>
    <x v="32"/>
    <x v="32"/>
    <x v="32"/>
    <x v="18"/>
    <x v="222"/>
    <x v="126"/>
    <x v="116"/>
    <x v="9"/>
    <x v="68"/>
    <x v="347"/>
    <x v="4"/>
  </r>
  <r>
    <x v="0"/>
    <x v="50"/>
    <x v="50"/>
    <x v="0"/>
    <x v="0"/>
    <x v="0"/>
    <x v="0"/>
    <x v="77"/>
    <x v="302"/>
    <x v="150"/>
    <x v="499"/>
    <x v="93"/>
    <x v="348"/>
    <x v="4"/>
  </r>
  <r>
    <x v="0"/>
    <x v="50"/>
    <x v="50"/>
    <x v="1"/>
    <x v="1"/>
    <x v="1"/>
    <x v="1"/>
    <x v="82"/>
    <x v="151"/>
    <x v="90"/>
    <x v="500"/>
    <x v="122"/>
    <x v="51"/>
    <x v="4"/>
  </r>
  <r>
    <x v="0"/>
    <x v="50"/>
    <x v="50"/>
    <x v="3"/>
    <x v="3"/>
    <x v="3"/>
    <x v="2"/>
    <x v="122"/>
    <x v="130"/>
    <x v="126"/>
    <x v="501"/>
    <x v="78"/>
    <x v="312"/>
    <x v="4"/>
  </r>
  <r>
    <x v="0"/>
    <x v="50"/>
    <x v="50"/>
    <x v="8"/>
    <x v="8"/>
    <x v="8"/>
    <x v="3"/>
    <x v="200"/>
    <x v="204"/>
    <x v="89"/>
    <x v="502"/>
    <x v="69"/>
    <x v="128"/>
    <x v="4"/>
  </r>
  <r>
    <x v="0"/>
    <x v="50"/>
    <x v="50"/>
    <x v="5"/>
    <x v="5"/>
    <x v="5"/>
    <x v="3"/>
    <x v="200"/>
    <x v="204"/>
    <x v="183"/>
    <x v="382"/>
    <x v="118"/>
    <x v="125"/>
    <x v="4"/>
  </r>
  <r>
    <x v="0"/>
    <x v="50"/>
    <x v="50"/>
    <x v="2"/>
    <x v="2"/>
    <x v="2"/>
    <x v="5"/>
    <x v="166"/>
    <x v="284"/>
    <x v="51"/>
    <x v="256"/>
    <x v="64"/>
    <x v="217"/>
    <x v="4"/>
  </r>
  <r>
    <x v="0"/>
    <x v="50"/>
    <x v="50"/>
    <x v="11"/>
    <x v="11"/>
    <x v="11"/>
    <x v="6"/>
    <x v="130"/>
    <x v="44"/>
    <x v="76"/>
    <x v="271"/>
    <x v="65"/>
    <x v="285"/>
    <x v="4"/>
  </r>
  <r>
    <x v="0"/>
    <x v="50"/>
    <x v="50"/>
    <x v="6"/>
    <x v="6"/>
    <x v="6"/>
    <x v="7"/>
    <x v="132"/>
    <x v="119"/>
    <x v="133"/>
    <x v="459"/>
    <x v="121"/>
    <x v="157"/>
    <x v="4"/>
  </r>
  <r>
    <x v="0"/>
    <x v="50"/>
    <x v="50"/>
    <x v="13"/>
    <x v="13"/>
    <x v="13"/>
    <x v="8"/>
    <x v="126"/>
    <x v="82"/>
    <x v="116"/>
    <x v="135"/>
    <x v="98"/>
    <x v="344"/>
    <x v="4"/>
  </r>
  <r>
    <x v="0"/>
    <x v="50"/>
    <x v="50"/>
    <x v="36"/>
    <x v="36"/>
    <x v="36"/>
    <x v="9"/>
    <x v="133"/>
    <x v="109"/>
    <x v="138"/>
    <x v="66"/>
    <x v="63"/>
    <x v="304"/>
    <x v="4"/>
  </r>
  <r>
    <x v="0"/>
    <x v="50"/>
    <x v="50"/>
    <x v="4"/>
    <x v="4"/>
    <x v="4"/>
    <x v="10"/>
    <x v="138"/>
    <x v="96"/>
    <x v="105"/>
    <x v="503"/>
    <x v="81"/>
    <x v="25"/>
    <x v="4"/>
  </r>
  <r>
    <x v="0"/>
    <x v="50"/>
    <x v="50"/>
    <x v="32"/>
    <x v="32"/>
    <x v="32"/>
    <x v="11"/>
    <x v="140"/>
    <x v="133"/>
    <x v="81"/>
    <x v="444"/>
    <x v="119"/>
    <x v="153"/>
    <x v="4"/>
  </r>
  <r>
    <x v="0"/>
    <x v="50"/>
    <x v="50"/>
    <x v="19"/>
    <x v="19"/>
    <x v="19"/>
    <x v="11"/>
    <x v="140"/>
    <x v="133"/>
    <x v="89"/>
    <x v="502"/>
    <x v="118"/>
    <x v="125"/>
    <x v="4"/>
  </r>
  <r>
    <x v="0"/>
    <x v="50"/>
    <x v="50"/>
    <x v="12"/>
    <x v="12"/>
    <x v="12"/>
    <x v="13"/>
    <x v="224"/>
    <x v="29"/>
    <x v="53"/>
    <x v="240"/>
    <x v="77"/>
    <x v="315"/>
    <x v="4"/>
  </r>
  <r>
    <x v="0"/>
    <x v="50"/>
    <x v="50"/>
    <x v="47"/>
    <x v="47"/>
    <x v="47"/>
    <x v="13"/>
    <x v="224"/>
    <x v="29"/>
    <x v="58"/>
    <x v="158"/>
    <x v="119"/>
    <x v="153"/>
    <x v="4"/>
  </r>
  <r>
    <x v="0"/>
    <x v="50"/>
    <x v="50"/>
    <x v="7"/>
    <x v="7"/>
    <x v="7"/>
    <x v="13"/>
    <x v="224"/>
    <x v="29"/>
    <x v="32"/>
    <x v="504"/>
    <x v="154"/>
    <x v="267"/>
    <x v="4"/>
  </r>
  <r>
    <x v="0"/>
    <x v="50"/>
    <x v="50"/>
    <x v="44"/>
    <x v="44"/>
    <x v="44"/>
    <x v="16"/>
    <x v="141"/>
    <x v="12"/>
    <x v="81"/>
    <x v="444"/>
    <x v="80"/>
    <x v="234"/>
    <x v="4"/>
  </r>
  <r>
    <x v="0"/>
    <x v="50"/>
    <x v="50"/>
    <x v="17"/>
    <x v="17"/>
    <x v="17"/>
    <x v="16"/>
    <x v="141"/>
    <x v="12"/>
    <x v="76"/>
    <x v="271"/>
    <x v="68"/>
    <x v="76"/>
    <x v="4"/>
  </r>
  <r>
    <x v="0"/>
    <x v="50"/>
    <x v="50"/>
    <x v="52"/>
    <x v="52"/>
    <x v="52"/>
    <x v="18"/>
    <x v="142"/>
    <x v="31"/>
    <x v="48"/>
    <x v="415"/>
    <x v="45"/>
    <x v="8"/>
    <x v="4"/>
  </r>
  <r>
    <x v="0"/>
    <x v="50"/>
    <x v="50"/>
    <x v="10"/>
    <x v="10"/>
    <x v="10"/>
    <x v="19"/>
    <x v="209"/>
    <x v="15"/>
    <x v="118"/>
    <x v="301"/>
    <x v="118"/>
    <x v="125"/>
    <x v="4"/>
  </r>
  <r>
    <x v="0"/>
    <x v="50"/>
    <x v="50"/>
    <x v="16"/>
    <x v="16"/>
    <x v="16"/>
    <x v="19"/>
    <x v="209"/>
    <x v="15"/>
    <x v="77"/>
    <x v="372"/>
    <x v="63"/>
    <x v="304"/>
    <x v="4"/>
  </r>
  <r>
    <x v="0"/>
    <x v="51"/>
    <x v="51"/>
    <x v="72"/>
    <x v="72"/>
    <x v="72"/>
    <x v="0"/>
    <x v="124"/>
    <x v="103"/>
    <x v="54"/>
    <x v="505"/>
    <x v="154"/>
    <x v="267"/>
    <x v="4"/>
  </r>
  <r>
    <x v="0"/>
    <x v="51"/>
    <x v="51"/>
    <x v="3"/>
    <x v="3"/>
    <x v="3"/>
    <x v="1"/>
    <x v="126"/>
    <x v="249"/>
    <x v="123"/>
    <x v="506"/>
    <x v="78"/>
    <x v="263"/>
    <x v="4"/>
  </r>
  <r>
    <x v="0"/>
    <x v="51"/>
    <x v="51"/>
    <x v="2"/>
    <x v="2"/>
    <x v="2"/>
    <x v="2"/>
    <x v="134"/>
    <x v="78"/>
    <x v="117"/>
    <x v="507"/>
    <x v="54"/>
    <x v="258"/>
    <x v="4"/>
  </r>
  <r>
    <x v="0"/>
    <x v="51"/>
    <x v="51"/>
    <x v="8"/>
    <x v="8"/>
    <x v="8"/>
    <x v="3"/>
    <x v="219"/>
    <x v="106"/>
    <x v="68"/>
    <x v="435"/>
    <x v="99"/>
    <x v="38"/>
    <x v="4"/>
  </r>
  <r>
    <x v="0"/>
    <x v="51"/>
    <x v="51"/>
    <x v="0"/>
    <x v="0"/>
    <x v="0"/>
    <x v="3"/>
    <x v="219"/>
    <x v="106"/>
    <x v="68"/>
    <x v="435"/>
    <x v="99"/>
    <x v="38"/>
    <x v="4"/>
  </r>
  <r>
    <x v="0"/>
    <x v="51"/>
    <x v="51"/>
    <x v="1"/>
    <x v="1"/>
    <x v="1"/>
    <x v="5"/>
    <x v="138"/>
    <x v="165"/>
    <x v="32"/>
    <x v="508"/>
    <x v="74"/>
    <x v="23"/>
    <x v="4"/>
  </r>
  <r>
    <x v="0"/>
    <x v="51"/>
    <x v="51"/>
    <x v="44"/>
    <x v="44"/>
    <x v="44"/>
    <x v="6"/>
    <x v="139"/>
    <x v="250"/>
    <x v="81"/>
    <x v="15"/>
    <x v="77"/>
    <x v="349"/>
    <x v="4"/>
  </r>
  <r>
    <x v="0"/>
    <x v="51"/>
    <x v="51"/>
    <x v="6"/>
    <x v="6"/>
    <x v="6"/>
    <x v="7"/>
    <x v="209"/>
    <x v="200"/>
    <x v="43"/>
    <x v="509"/>
    <x v="121"/>
    <x v="31"/>
    <x v="4"/>
  </r>
  <r>
    <x v="0"/>
    <x v="51"/>
    <x v="51"/>
    <x v="5"/>
    <x v="5"/>
    <x v="5"/>
    <x v="7"/>
    <x v="209"/>
    <x v="200"/>
    <x v="128"/>
    <x v="510"/>
    <x v="81"/>
    <x v="238"/>
    <x v="4"/>
  </r>
  <r>
    <x v="0"/>
    <x v="51"/>
    <x v="51"/>
    <x v="14"/>
    <x v="14"/>
    <x v="14"/>
    <x v="9"/>
    <x v="221"/>
    <x v="281"/>
    <x v="61"/>
    <x v="170"/>
    <x v="45"/>
    <x v="331"/>
    <x v="4"/>
  </r>
  <r>
    <x v="0"/>
    <x v="51"/>
    <x v="51"/>
    <x v="73"/>
    <x v="73"/>
    <x v="73"/>
    <x v="9"/>
    <x v="221"/>
    <x v="281"/>
    <x v="53"/>
    <x v="465"/>
    <x v="68"/>
    <x v="228"/>
    <x v="4"/>
  </r>
  <r>
    <x v="0"/>
    <x v="51"/>
    <x v="51"/>
    <x v="12"/>
    <x v="12"/>
    <x v="12"/>
    <x v="11"/>
    <x v="222"/>
    <x v="61"/>
    <x v="48"/>
    <x v="106"/>
    <x v="124"/>
    <x v="105"/>
    <x v="4"/>
  </r>
  <r>
    <x v="0"/>
    <x v="51"/>
    <x v="51"/>
    <x v="9"/>
    <x v="9"/>
    <x v="9"/>
    <x v="12"/>
    <x v="225"/>
    <x v="46"/>
    <x v="88"/>
    <x v="74"/>
    <x v="122"/>
    <x v="347"/>
    <x v="4"/>
  </r>
  <r>
    <x v="0"/>
    <x v="51"/>
    <x v="51"/>
    <x v="59"/>
    <x v="59"/>
    <x v="59"/>
    <x v="12"/>
    <x v="225"/>
    <x v="46"/>
    <x v="66"/>
    <x v="72"/>
    <x v="45"/>
    <x v="331"/>
    <x v="4"/>
  </r>
  <r>
    <x v="0"/>
    <x v="51"/>
    <x v="51"/>
    <x v="41"/>
    <x v="41"/>
    <x v="41"/>
    <x v="14"/>
    <x v="227"/>
    <x v="27"/>
    <x v="74"/>
    <x v="10"/>
    <x v="54"/>
    <x v="258"/>
    <x v="4"/>
  </r>
  <r>
    <x v="0"/>
    <x v="51"/>
    <x v="51"/>
    <x v="11"/>
    <x v="11"/>
    <x v="11"/>
    <x v="15"/>
    <x v="226"/>
    <x v="12"/>
    <x v="58"/>
    <x v="89"/>
    <x v="63"/>
    <x v="32"/>
    <x v="4"/>
  </r>
  <r>
    <x v="0"/>
    <x v="51"/>
    <x v="51"/>
    <x v="64"/>
    <x v="64"/>
    <x v="64"/>
    <x v="15"/>
    <x v="226"/>
    <x v="12"/>
    <x v="66"/>
    <x v="72"/>
    <x v="68"/>
    <x v="228"/>
    <x v="4"/>
  </r>
  <r>
    <x v="0"/>
    <x v="51"/>
    <x v="51"/>
    <x v="10"/>
    <x v="10"/>
    <x v="10"/>
    <x v="15"/>
    <x v="226"/>
    <x v="12"/>
    <x v="48"/>
    <x v="106"/>
    <x v="118"/>
    <x v="47"/>
    <x v="4"/>
  </r>
  <r>
    <x v="0"/>
    <x v="51"/>
    <x v="51"/>
    <x v="4"/>
    <x v="4"/>
    <x v="4"/>
    <x v="15"/>
    <x v="226"/>
    <x v="12"/>
    <x v="56"/>
    <x v="350"/>
    <x v="81"/>
    <x v="238"/>
    <x v="4"/>
  </r>
  <r>
    <x v="0"/>
    <x v="51"/>
    <x v="51"/>
    <x v="53"/>
    <x v="53"/>
    <x v="53"/>
    <x v="19"/>
    <x v="228"/>
    <x v="14"/>
    <x v="48"/>
    <x v="106"/>
    <x v="78"/>
    <x v="263"/>
    <x v="4"/>
  </r>
  <r>
    <x v="0"/>
    <x v="51"/>
    <x v="51"/>
    <x v="7"/>
    <x v="7"/>
    <x v="7"/>
    <x v="19"/>
    <x v="228"/>
    <x v="14"/>
    <x v="77"/>
    <x v="511"/>
    <x v="154"/>
    <x v="267"/>
    <x v="4"/>
  </r>
  <r>
    <x v="0"/>
    <x v="52"/>
    <x v="52"/>
    <x v="0"/>
    <x v="0"/>
    <x v="0"/>
    <x v="0"/>
    <x v="98"/>
    <x v="303"/>
    <x v="175"/>
    <x v="512"/>
    <x v="69"/>
    <x v="350"/>
    <x v="4"/>
  </r>
  <r>
    <x v="0"/>
    <x v="52"/>
    <x v="52"/>
    <x v="1"/>
    <x v="1"/>
    <x v="1"/>
    <x v="1"/>
    <x v="126"/>
    <x v="195"/>
    <x v="165"/>
    <x v="56"/>
    <x v="51"/>
    <x v="16"/>
    <x v="4"/>
  </r>
  <r>
    <x v="0"/>
    <x v="52"/>
    <x v="52"/>
    <x v="2"/>
    <x v="2"/>
    <x v="2"/>
    <x v="2"/>
    <x v="219"/>
    <x v="78"/>
    <x v="119"/>
    <x v="513"/>
    <x v="118"/>
    <x v="235"/>
    <x v="4"/>
  </r>
  <r>
    <x v="0"/>
    <x v="52"/>
    <x v="52"/>
    <x v="6"/>
    <x v="6"/>
    <x v="6"/>
    <x v="3"/>
    <x v="140"/>
    <x v="304"/>
    <x v="32"/>
    <x v="514"/>
    <x v="121"/>
    <x v="25"/>
    <x v="4"/>
  </r>
  <r>
    <x v="0"/>
    <x v="52"/>
    <x v="52"/>
    <x v="5"/>
    <x v="5"/>
    <x v="5"/>
    <x v="4"/>
    <x v="224"/>
    <x v="139"/>
    <x v="176"/>
    <x v="412"/>
    <x v="81"/>
    <x v="238"/>
    <x v="4"/>
  </r>
  <r>
    <x v="0"/>
    <x v="52"/>
    <x v="52"/>
    <x v="14"/>
    <x v="14"/>
    <x v="14"/>
    <x v="5"/>
    <x v="141"/>
    <x v="240"/>
    <x v="61"/>
    <x v="9"/>
    <x v="77"/>
    <x v="351"/>
    <x v="1"/>
  </r>
  <r>
    <x v="0"/>
    <x v="52"/>
    <x v="52"/>
    <x v="8"/>
    <x v="8"/>
    <x v="8"/>
    <x v="6"/>
    <x v="142"/>
    <x v="92"/>
    <x v="74"/>
    <x v="299"/>
    <x v="64"/>
    <x v="352"/>
    <x v="4"/>
  </r>
  <r>
    <x v="0"/>
    <x v="52"/>
    <x v="52"/>
    <x v="53"/>
    <x v="53"/>
    <x v="53"/>
    <x v="7"/>
    <x v="220"/>
    <x v="199"/>
    <x v="81"/>
    <x v="209"/>
    <x v="68"/>
    <x v="257"/>
    <x v="4"/>
  </r>
  <r>
    <x v="0"/>
    <x v="52"/>
    <x v="52"/>
    <x v="4"/>
    <x v="4"/>
    <x v="4"/>
    <x v="8"/>
    <x v="221"/>
    <x v="57"/>
    <x v="77"/>
    <x v="47"/>
    <x v="51"/>
    <x v="16"/>
    <x v="4"/>
  </r>
  <r>
    <x v="0"/>
    <x v="52"/>
    <x v="52"/>
    <x v="74"/>
    <x v="74"/>
    <x v="74"/>
    <x v="8"/>
    <x v="221"/>
    <x v="57"/>
    <x v="49"/>
    <x v="37"/>
    <x v="121"/>
    <x v="25"/>
    <x v="4"/>
  </r>
  <r>
    <x v="0"/>
    <x v="52"/>
    <x v="52"/>
    <x v="3"/>
    <x v="3"/>
    <x v="3"/>
    <x v="10"/>
    <x v="222"/>
    <x v="156"/>
    <x v="143"/>
    <x v="515"/>
    <x v="121"/>
    <x v="25"/>
    <x v="4"/>
  </r>
  <r>
    <x v="0"/>
    <x v="52"/>
    <x v="52"/>
    <x v="13"/>
    <x v="13"/>
    <x v="13"/>
    <x v="11"/>
    <x v="225"/>
    <x v="71"/>
    <x v="53"/>
    <x v="117"/>
    <x v="64"/>
    <x v="352"/>
    <x v="4"/>
  </r>
  <r>
    <x v="0"/>
    <x v="52"/>
    <x v="52"/>
    <x v="45"/>
    <x v="45"/>
    <x v="45"/>
    <x v="11"/>
    <x v="225"/>
    <x v="71"/>
    <x v="81"/>
    <x v="209"/>
    <x v="124"/>
    <x v="353"/>
    <x v="4"/>
  </r>
  <r>
    <x v="0"/>
    <x v="52"/>
    <x v="52"/>
    <x v="9"/>
    <x v="9"/>
    <x v="9"/>
    <x v="11"/>
    <x v="225"/>
    <x v="71"/>
    <x v="53"/>
    <x v="117"/>
    <x v="64"/>
    <x v="352"/>
    <x v="4"/>
  </r>
  <r>
    <x v="0"/>
    <x v="52"/>
    <x v="52"/>
    <x v="12"/>
    <x v="12"/>
    <x v="12"/>
    <x v="14"/>
    <x v="226"/>
    <x v="98"/>
    <x v="49"/>
    <x v="37"/>
    <x v="90"/>
    <x v="253"/>
    <x v="4"/>
  </r>
  <r>
    <x v="0"/>
    <x v="52"/>
    <x v="52"/>
    <x v="10"/>
    <x v="10"/>
    <x v="10"/>
    <x v="14"/>
    <x v="226"/>
    <x v="98"/>
    <x v="58"/>
    <x v="42"/>
    <x v="63"/>
    <x v="33"/>
    <x v="4"/>
  </r>
  <r>
    <x v="0"/>
    <x v="52"/>
    <x v="52"/>
    <x v="7"/>
    <x v="7"/>
    <x v="7"/>
    <x v="14"/>
    <x v="226"/>
    <x v="98"/>
    <x v="101"/>
    <x v="88"/>
    <x v="154"/>
    <x v="267"/>
    <x v="4"/>
  </r>
  <r>
    <x v="0"/>
    <x v="52"/>
    <x v="52"/>
    <x v="75"/>
    <x v="75"/>
    <x v="75"/>
    <x v="14"/>
    <x v="226"/>
    <x v="98"/>
    <x v="66"/>
    <x v="72"/>
    <x v="74"/>
    <x v="42"/>
    <x v="8"/>
  </r>
  <r>
    <x v="0"/>
    <x v="52"/>
    <x v="52"/>
    <x v="36"/>
    <x v="36"/>
    <x v="36"/>
    <x v="18"/>
    <x v="228"/>
    <x v="87"/>
    <x v="48"/>
    <x v="516"/>
    <x v="78"/>
    <x v="4"/>
    <x v="4"/>
  </r>
  <r>
    <x v="0"/>
    <x v="52"/>
    <x v="52"/>
    <x v="16"/>
    <x v="16"/>
    <x v="16"/>
    <x v="19"/>
    <x v="229"/>
    <x v="32"/>
    <x v="53"/>
    <x v="117"/>
    <x v="122"/>
    <x v="155"/>
    <x v="4"/>
  </r>
  <r>
    <x v="0"/>
    <x v="53"/>
    <x v="53"/>
    <x v="0"/>
    <x v="0"/>
    <x v="0"/>
    <x v="0"/>
    <x v="82"/>
    <x v="305"/>
    <x v="131"/>
    <x v="517"/>
    <x v="47"/>
    <x v="59"/>
    <x v="4"/>
  </r>
  <r>
    <x v="0"/>
    <x v="53"/>
    <x v="53"/>
    <x v="1"/>
    <x v="1"/>
    <x v="1"/>
    <x v="1"/>
    <x v="54"/>
    <x v="306"/>
    <x v="47"/>
    <x v="518"/>
    <x v="51"/>
    <x v="5"/>
    <x v="4"/>
  </r>
  <r>
    <x v="0"/>
    <x v="53"/>
    <x v="53"/>
    <x v="3"/>
    <x v="3"/>
    <x v="3"/>
    <x v="2"/>
    <x v="154"/>
    <x v="259"/>
    <x v="55"/>
    <x v="213"/>
    <x v="54"/>
    <x v="146"/>
    <x v="4"/>
  </r>
  <r>
    <x v="0"/>
    <x v="53"/>
    <x v="53"/>
    <x v="5"/>
    <x v="5"/>
    <x v="5"/>
    <x v="3"/>
    <x v="136"/>
    <x v="140"/>
    <x v="51"/>
    <x v="519"/>
    <x v="74"/>
    <x v="354"/>
    <x v="4"/>
  </r>
  <r>
    <x v="0"/>
    <x v="53"/>
    <x v="53"/>
    <x v="6"/>
    <x v="6"/>
    <x v="6"/>
    <x v="4"/>
    <x v="133"/>
    <x v="180"/>
    <x v="78"/>
    <x v="508"/>
    <x v="121"/>
    <x v="298"/>
    <x v="4"/>
  </r>
  <r>
    <x v="0"/>
    <x v="53"/>
    <x v="53"/>
    <x v="32"/>
    <x v="32"/>
    <x v="32"/>
    <x v="5"/>
    <x v="137"/>
    <x v="82"/>
    <x v="53"/>
    <x v="158"/>
    <x v="61"/>
    <x v="355"/>
    <x v="4"/>
  </r>
  <r>
    <x v="0"/>
    <x v="53"/>
    <x v="53"/>
    <x v="11"/>
    <x v="11"/>
    <x v="11"/>
    <x v="5"/>
    <x v="137"/>
    <x v="82"/>
    <x v="58"/>
    <x v="167"/>
    <x v="69"/>
    <x v="356"/>
    <x v="4"/>
  </r>
  <r>
    <x v="0"/>
    <x v="53"/>
    <x v="53"/>
    <x v="2"/>
    <x v="2"/>
    <x v="2"/>
    <x v="5"/>
    <x v="137"/>
    <x v="82"/>
    <x v="176"/>
    <x v="520"/>
    <x v="118"/>
    <x v="139"/>
    <x v="4"/>
  </r>
  <r>
    <x v="0"/>
    <x v="53"/>
    <x v="53"/>
    <x v="76"/>
    <x v="76"/>
    <x v="76"/>
    <x v="8"/>
    <x v="138"/>
    <x v="280"/>
    <x v="134"/>
    <x v="370"/>
    <x v="121"/>
    <x v="298"/>
    <x v="4"/>
  </r>
  <r>
    <x v="0"/>
    <x v="53"/>
    <x v="53"/>
    <x v="8"/>
    <x v="8"/>
    <x v="8"/>
    <x v="8"/>
    <x v="138"/>
    <x v="280"/>
    <x v="101"/>
    <x v="363"/>
    <x v="68"/>
    <x v="155"/>
    <x v="4"/>
  </r>
  <r>
    <x v="0"/>
    <x v="53"/>
    <x v="53"/>
    <x v="12"/>
    <x v="12"/>
    <x v="12"/>
    <x v="10"/>
    <x v="224"/>
    <x v="141"/>
    <x v="53"/>
    <x v="158"/>
    <x v="77"/>
    <x v="327"/>
    <x v="4"/>
  </r>
  <r>
    <x v="0"/>
    <x v="53"/>
    <x v="53"/>
    <x v="44"/>
    <x v="44"/>
    <x v="44"/>
    <x v="11"/>
    <x v="141"/>
    <x v="149"/>
    <x v="53"/>
    <x v="158"/>
    <x v="119"/>
    <x v="151"/>
    <x v="4"/>
  </r>
  <r>
    <x v="0"/>
    <x v="53"/>
    <x v="53"/>
    <x v="14"/>
    <x v="14"/>
    <x v="14"/>
    <x v="12"/>
    <x v="142"/>
    <x v="73"/>
    <x v="49"/>
    <x v="452"/>
    <x v="56"/>
    <x v="185"/>
    <x v="4"/>
  </r>
  <r>
    <x v="0"/>
    <x v="53"/>
    <x v="53"/>
    <x v="52"/>
    <x v="52"/>
    <x v="52"/>
    <x v="12"/>
    <x v="142"/>
    <x v="73"/>
    <x v="116"/>
    <x v="216"/>
    <x v="119"/>
    <x v="151"/>
    <x v="4"/>
  </r>
  <r>
    <x v="0"/>
    <x v="53"/>
    <x v="53"/>
    <x v="13"/>
    <x v="13"/>
    <x v="13"/>
    <x v="12"/>
    <x v="142"/>
    <x v="73"/>
    <x v="116"/>
    <x v="216"/>
    <x v="119"/>
    <x v="151"/>
    <x v="4"/>
  </r>
  <r>
    <x v="0"/>
    <x v="53"/>
    <x v="53"/>
    <x v="4"/>
    <x v="4"/>
    <x v="4"/>
    <x v="12"/>
    <x v="142"/>
    <x v="73"/>
    <x v="100"/>
    <x v="133"/>
    <x v="78"/>
    <x v="249"/>
    <x v="4"/>
  </r>
  <r>
    <x v="0"/>
    <x v="53"/>
    <x v="53"/>
    <x v="51"/>
    <x v="51"/>
    <x v="51"/>
    <x v="16"/>
    <x v="210"/>
    <x v="74"/>
    <x v="116"/>
    <x v="216"/>
    <x v="80"/>
    <x v="153"/>
    <x v="4"/>
  </r>
  <r>
    <x v="0"/>
    <x v="53"/>
    <x v="53"/>
    <x v="49"/>
    <x v="49"/>
    <x v="49"/>
    <x v="17"/>
    <x v="220"/>
    <x v="30"/>
    <x v="49"/>
    <x v="452"/>
    <x v="47"/>
    <x v="59"/>
    <x v="4"/>
  </r>
  <r>
    <x v="0"/>
    <x v="53"/>
    <x v="53"/>
    <x v="9"/>
    <x v="9"/>
    <x v="9"/>
    <x v="17"/>
    <x v="220"/>
    <x v="30"/>
    <x v="88"/>
    <x v="319"/>
    <x v="64"/>
    <x v="178"/>
    <x v="4"/>
  </r>
  <r>
    <x v="0"/>
    <x v="53"/>
    <x v="53"/>
    <x v="46"/>
    <x v="46"/>
    <x v="46"/>
    <x v="19"/>
    <x v="221"/>
    <x v="16"/>
    <x v="88"/>
    <x v="319"/>
    <x v="124"/>
    <x v="96"/>
    <x v="4"/>
  </r>
  <r>
    <x v="0"/>
    <x v="53"/>
    <x v="53"/>
    <x v="18"/>
    <x v="18"/>
    <x v="18"/>
    <x v="19"/>
    <x v="221"/>
    <x v="16"/>
    <x v="58"/>
    <x v="167"/>
    <x v="90"/>
    <x v="280"/>
    <x v="4"/>
  </r>
  <r>
    <x v="0"/>
    <x v="53"/>
    <x v="53"/>
    <x v="16"/>
    <x v="16"/>
    <x v="16"/>
    <x v="19"/>
    <x v="221"/>
    <x v="16"/>
    <x v="56"/>
    <x v="406"/>
    <x v="78"/>
    <x v="249"/>
    <x v="4"/>
  </r>
  <r>
    <x v="0"/>
    <x v="53"/>
    <x v="53"/>
    <x v="19"/>
    <x v="19"/>
    <x v="19"/>
    <x v="19"/>
    <x v="221"/>
    <x v="16"/>
    <x v="74"/>
    <x v="318"/>
    <x v="118"/>
    <x v="139"/>
    <x v="4"/>
  </r>
  <r>
    <x v="0"/>
    <x v="54"/>
    <x v="54"/>
    <x v="0"/>
    <x v="0"/>
    <x v="0"/>
    <x v="0"/>
    <x v="90"/>
    <x v="307"/>
    <x v="54"/>
    <x v="521"/>
    <x v="40"/>
    <x v="357"/>
    <x v="4"/>
  </r>
  <r>
    <x v="0"/>
    <x v="54"/>
    <x v="54"/>
    <x v="2"/>
    <x v="2"/>
    <x v="2"/>
    <x v="1"/>
    <x v="121"/>
    <x v="308"/>
    <x v="127"/>
    <x v="522"/>
    <x v="122"/>
    <x v="15"/>
    <x v="4"/>
  </r>
  <r>
    <x v="0"/>
    <x v="54"/>
    <x v="54"/>
    <x v="1"/>
    <x v="1"/>
    <x v="1"/>
    <x v="2"/>
    <x v="129"/>
    <x v="309"/>
    <x v="45"/>
    <x v="367"/>
    <x v="118"/>
    <x v="96"/>
    <x v="4"/>
  </r>
  <r>
    <x v="0"/>
    <x v="54"/>
    <x v="54"/>
    <x v="14"/>
    <x v="14"/>
    <x v="14"/>
    <x v="3"/>
    <x v="141"/>
    <x v="185"/>
    <x v="58"/>
    <x v="173"/>
    <x v="47"/>
    <x v="358"/>
    <x v="4"/>
  </r>
  <r>
    <x v="0"/>
    <x v="54"/>
    <x v="54"/>
    <x v="6"/>
    <x v="6"/>
    <x v="6"/>
    <x v="3"/>
    <x v="141"/>
    <x v="185"/>
    <x v="89"/>
    <x v="151"/>
    <x v="51"/>
    <x v="359"/>
    <x v="4"/>
  </r>
  <r>
    <x v="0"/>
    <x v="54"/>
    <x v="54"/>
    <x v="12"/>
    <x v="12"/>
    <x v="12"/>
    <x v="5"/>
    <x v="142"/>
    <x v="179"/>
    <x v="49"/>
    <x v="232"/>
    <x v="56"/>
    <x v="360"/>
    <x v="4"/>
  </r>
  <r>
    <x v="0"/>
    <x v="54"/>
    <x v="54"/>
    <x v="8"/>
    <x v="8"/>
    <x v="8"/>
    <x v="6"/>
    <x v="220"/>
    <x v="174"/>
    <x v="74"/>
    <x v="384"/>
    <x v="63"/>
    <x v="187"/>
    <x v="4"/>
  </r>
  <r>
    <x v="0"/>
    <x v="54"/>
    <x v="54"/>
    <x v="21"/>
    <x v="21"/>
    <x v="21"/>
    <x v="6"/>
    <x v="220"/>
    <x v="174"/>
    <x v="66"/>
    <x v="72"/>
    <x v="119"/>
    <x v="361"/>
    <x v="4"/>
  </r>
  <r>
    <x v="0"/>
    <x v="54"/>
    <x v="54"/>
    <x v="3"/>
    <x v="3"/>
    <x v="3"/>
    <x v="6"/>
    <x v="220"/>
    <x v="174"/>
    <x v="101"/>
    <x v="141"/>
    <x v="51"/>
    <x v="359"/>
    <x v="1"/>
  </r>
  <r>
    <x v="0"/>
    <x v="54"/>
    <x v="54"/>
    <x v="18"/>
    <x v="18"/>
    <x v="18"/>
    <x v="9"/>
    <x v="221"/>
    <x v="194"/>
    <x v="53"/>
    <x v="282"/>
    <x v="68"/>
    <x v="103"/>
    <x v="4"/>
  </r>
  <r>
    <x v="0"/>
    <x v="54"/>
    <x v="54"/>
    <x v="11"/>
    <x v="11"/>
    <x v="11"/>
    <x v="10"/>
    <x v="222"/>
    <x v="175"/>
    <x v="49"/>
    <x v="232"/>
    <x v="45"/>
    <x v="362"/>
    <x v="4"/>
  </r>
  <r>
    <x v="0"/>
    <x v="54"/>
    <x v="54"/>
    <x v="5"/>
    <x v="5"/>
    <x v="5"/>
    <x v="10"/>
    <x v="222"/>
    <x v="175"/>
    <x v="143"/>
    <x v="523"/>
    <x v="121"/>
    <x v="277"/>
    <x v="4"/>
  </r>
  <r>
    <x v="0"/>
    <x v="54"/>
    <x v="54"/>
    <x v="53"/>
    <x v="53"/>
    <x v="53"/>
    <x v="12"/>
    <x v="225"/>
    <x v="122"/>
    <x v="116"/>
    <x v="353"/>
    <x v="90"/>
    <x v="177"/>
    <x v="4"/>
  </r>
  <r>
    <x v="0"/>
    <x v="54"/>
    <x v="54"/>
    <x v="10"/>
    <x v="10"/>
    <x v="10"/>
    <x v="12"/>
    <x v="225"/>
    <x v="122"/>
    <x v="53"/>
    <x v="282"/>
    <x v="64"/>
    <x v="14"/>
    <x v="4"/>
  </r>
  <r>
    <x v="0"/>
    <x v="54"/>
    <x v="54"/>
    <x v="4"/>
    <x v="4"/>
    <x v="4"/>
    <x v="12"/>
    <x v="225"/>
    <x v="122"/>
    <x v="76"/>
    <x v="169"/>
    <x v="78"/>
    <x v="211"/>
    <x v="4"/>
  </r>
  <r>
    <x v="0"/>
    <x v="54"/>
    <x v="54"/>
    <x v="19"/>
    <x v="19"/>
    <x v="19"/>
    <x v="15"/>
    <x v="227"/>
    <x v="97"/>
    <x v="81"/>
    <x v="516"/>
    <x v="63"/>
    <x v="187"/>
    <x v="4"/>
  </r>
  <r>
    <x v="0"/>
    <x v="54"/>
    <x v="54"/>
    <x v="36"/>
    <x v="36"/>
    <x v="36"/>
    <x v="15"/>
    <x v="227"/>
    <x v="97"/>
    <x v="95"/>
    <x v="511"/>
    <x v="78"/>
    <x v="211"/>
    <x v="4"/>
  </r>
  <r>
    <x v="0"/>
    <x v="54"/>
    <x v="54"/>
    <x v="39"/>
    <x v="39"/>
    <x v="39"/>
    <x v="17"/>
    <x v="226"/>
    <x v="133"/>
    <x v="66"/>
    <x v="72"/>
    <x v="68"/>
    <x v="103"/>
    <x v="4"/>
  </r>
  <r>
    <x v="0"/>
    <x v="54"/>
    <x v="54"/>
    <x v="15"/>
    <x v="15"/>
    <x v="15"/>
    <x v="18"/>
    <x v="228"/>
    <x v="12"/>
    <x v="116"/>
    <x v="353"/>
    <x v="124"/>
    <x v="168"/>
    <x v="4"/>
  </r>
  <r>
    <x v="0"/>
    <x v="54"/>
    <x v="54"/>
    <x v="47"/>
    <x v="47"/>
    <x v="47"/>
    <x v="19"/>
    <x v="229"/>
    <x v="14"/>
    <x v="49"/>
    <x v="232"/>
    <x v="99"/>
    <x v="33"/>
    <x v="4"/>
  </r>
  <r>
    <x v="0"/>
    <x v="54"/>
    <x v="54"/>
    <x v="9"/>
    <x v="9"/>
    <x v="9"/>
    <x v="19"/>
    <x v="229"/>
    <x v="14"/>
    <x v="58"/>
    <x v="173"/>
    <x v="118"/>
    <x v="96"/>
    <x v="4"/>
  </r>
  <r>
    <x v="0"/>
    <x v="54"/>
    <x v="54"/>
    <x v="17"/>
    <x v="17"/>
    <x v="17"/>
    <x v="19"/>
    <x v="229"/>
    <x v="14"/>
    <x v="116"/>
    <x v="353"/>
    <x v="63"/>
    <x v="187"/>
    <x v="4"/>
  </r>
  <r>
    <x v="0"/>
    <x v="54"/>
    <x v="54"/>
    <x v="16"/>
    <x v="16"/>
    <x v="16"/>
    <x v="19"/>
    <x v="229"/>
    <x v="14"/>
    <x v="116"/>
    <x v="353"/>
    <x v="63"/>
    <x v="187"/>
    <x v="4"/>
  </r>
  <r>
    <x v="0"/>
    <x v="55"/>
    <x v="55"/>
    <x v="1"/>
    <x v="1"/>
    <x v="1"/>
    <x v="0"/>
    <x v="132"/>
    <x v="310"/>
    <x v="78"/>
    <x v="524"/>
    <x v="54"/>
    <x v="41"/>
    <x v="4"/>
  </r>
  <r>
    <x v="0"/>
    <x v="55"/>
    <x v="55"/>
    <x v="2"/>
    <x v="2"/>
    <x v="2"/>
    <x v="1"/>
    <x v="138"/>
    <x v="311"/>
    <x v="43"/>
    <x v="525"/>
    <x v="118"/>
    <x v="39"/>
    <x v="4"/>
  </r>
  <r>
    <x v="0"/>
    <x v="55"/>
    <x v="55"/>
    <x v="8"/>
    <x v="8"/>
    <x v="8"/>
    <x v="2"/>
    <x v="209"/>
    <x v="246"/>
    <x v="118"/>
    <x v="218"/>
    <x v="118"/>
    <x v="39"/>
    <x v="4"/>
  </r>
  <r>
    <x v="0"/>
    <x v="55"/>
    <x v="55"/>
    <x v="15"/>
    <x v="15"/>
    <x v="15"/>
    <x v="3"/>
    <x v="220"/>
    <x v="3"/>
    <x v="88"/>
    <x v="196"/>
    <x v="64"/>
    <x v="174"/>
    <x v="4"/>
  </r>
  <r>
    <x v="0"/>
    <x v="55"/>
    <x v="55"/>
    <x v="6"/>
    <x v="6"/>
    <x v="6"/>
    <x v="3"/>
    <x v="220"/>
    <x v="3"/>
    <x v="68"/>
    <x v="526"/>
    <x v="81"/>
    <x v="3"/>
    <x v="4"/>
  </r>
  <r>
    <x v="0"/>
    <x v="55"/>
    <x v="55"/>
    <x v="3"/>
    <x v="3"/>
    <x v="3"/>
    <x v="5"/>
    <x v="221"/>
    <x v="80"/>
    <x v="143"/>
    <x v="527"/>
    <x v="81"/>
    <x v="3"/>
    <x v="4"/>
  </r>
  <r>
    <x v="0"/>
    <x v="55"/>
    <x v="55"/>
    <x v="5"/>
    <x v="5"/>
    <x v="5"/>
    <x v="5"/>
    <x v="221"/>
    <x v="80"/>
    <x v="68"/>
    <x v="526"/>
    <x v="154"/>
    <x v="267"/>
    <x v="4"/>
  </r>
  <r>
    <x v="0"/>
    <x v="55"/>
    <x v="55"/>
    <x v="19"/>
    <x v="19"/>
    <x v="19"/>
    <x v="7"/>
    <x v="222"/>
    <x v="140"/>
    <x v="76"/>
    <x v="528"/>
    <x v="118"/>
    <x v="39"/>
    <x v="4"/>
  </r>
  <r>
    <x v="0"/>
    <x v="55"/>
    <x v="55"/>
    <x v="14"/>
    <x v="14"/>
    <x v="14"/>
    <x v="8"/>
    <x v="227"/>
    <x v="82"/>
    <x v="61"/>
    <x v="158"/>
    <x v="90"/>
    <x v="255"/>
    <x v="4"/>
  </r>
  <r>
    <x v="0"/>
    <x v="55"/>
    <x v="55"/>
    <x v="11"/>
    <x v="11"/>
    <x v="11"/>
    <x v="8"/>
    <x v="227"/>
    <x v="82"/>
    <x v="116"/>
    <x v="529"/>
    <x v="64"/>
    <x v="174"/>
    <x v="4"/>
  </r>
  <r>
    <x v="0"/>
    <x v="55"/>
    <x v="55"/>
    <x v="48"/>
    <x v="48"/>
    <x v="48"/>
    <x v="10"/>
    <x v="228"/>
    <x v="71"/>
    <x v="61"/>
    <x v="158"/>
    <x v="99"/>
    <x v="363"/>
    <x v="4"/>
  </r>
  <r>
    <x v="0"/>
    <x v="55"/>
    <x v="55"/>
    <x v="50"/>
    <x v="50"/>
    <x v="50"/>
    <x v="10"/>
    <x v="228"/>
    <x v="71"/>
    <x v="61"/>
    <x v="158"/>
    <x v="99"/>
    <x v="363"/>
    <x v="4"/>
  </r>
  <r>
    <x v="0"/>
    <x v="55"/>
    <x v="55"/>
    <x v="36"/>
    <x v="36"/>
    <x v="36"/>
    <x v="10"/>
    <x v="228"/>
    <x v="71"/>
    <x v="76"/>
    <x v="528"/>
    <x v="74"/>
    <x v="364"/>
    <x v="4"/>
  </r>
  <r>
    <x v="0"/>
    <x v="55"/>
    <x v="55"/>
    <x v="12"/>
    <x v="12"/>
    <x v="12"/>
    <x v="13"/>
    <x v="229"/>
    <x v="149"/>
    <x v="61"/>
    <x v="158"/>
    <x v="124"/>
    <x v="303"/>
    <x v="4"/>
  </r>
  <r>
    <x v="0"/>
    <x v="55"/>
    <x v="55"/>
    <x v="39"/>
    <x v="39"/>
    <x v="39"/>
    <x v="13"/>
    <x v="229"/>
    <x v="149"/>
    <x v="61"/>
    <x v="158"/>
    <x v="124"/>
    <x v="303"/>
    <x v="4"/>
  </r>
  <r>
    <x v="0"/>
    <x v="55"/>
    <x v="55"/>
    <x v="0"/>
    <x v="0"/>
    <x v="0"/>
    <x v="13"/>
    <x v="229"/>
    <x v="149"/>
    <x v="61"/>
    <x v="158"/>
    <x v="124"/>
    <x v="303"/>
    <x v="4"/>
  </r>
  <r>
    <x v="0"/>
    <x v="55"/>
    <x v="55"/>
    <x v="32"/>
    <x v="32"/>
    <x v="32"/>
    <x v="16"/>
    <x v="230"/>
    <x v="123"/>
    <x v="61"/>
    <x v="158"/>
    <x v="63"/>
    <x v="79"/>
    <x v="4"/>
  </r>
  <r>
    <x v="0"/>
    <x v="55"/>
    <x v="55"/>
    <x v="10"/>
    <x v="10"/>
    <x v="10"/>
    <x v="16"/>
    <x v="230"/>
    <x v="123"/>
    <x v="58"/>
    <x v="16"/>
    <x v="78"/>
    <x v="144"/>
    <x v="4"/>
  </r>
  <r>
    <x v="0"/>
    <x v="55"/>
    <x v="55"/>
    <x v="53"/>
    <x v="53"/>
    <x v="53"/>
    <x v="18"/>
    <x v="232"/>
    <x v="30"/>
    <x v="61"/>
    <x v="158"/>
    <x v="122"/>
    <x v="365"/>
    <x v="4"/>
  </r>
  <r>
    <x v="0"/>
    <x v="55"/>
    <x v="55"/>
    <x v="47"/>
    <x v="47"/>
    <x v="47"/>
    <x v="18"/>
    <x v="232"/>
    <x v="30"/>
    <x v="58"/>
    <x v="16"/>
    <x v="51"/>
    <x v="190"/>
    <x v="4"/>
  </r>
  <r>
    <x v="0"/>
    <x v="55"/>
    <x v="55"/>
    <x v="13"/>
    <x v="13"/>
    <x v="13"/>
    <x v="18"/>
    <x v="232"/>
    <x v="30"/>
    <x v="116"/>
    <x v="529"/>
    <x v="118"/>
    <x v="39"/>
    <x v="4"/>
  </r>
  <r>
    <x v="0"/>
    <x v="55"/>
    <x v="55"/>
    <x v="44"/>
    <x v="44"/>
    <x v="44"/>
    <x v="18"/>
    <x v="232"/>
    <x v="30"/>
    <x v="116"/>
    <x v="529"/>
    <x v="118"/>
    <x v="39"/>
    <x v="4"/>
  </r>
  <r>
    <x v="0"/>
    <x v="55"/>
    <x v="55"/>
    <x v="4"/>
    <x v="4"/>
    <x v="4"/>
    <x v="18"/>
    <x v="232"/>
    <x v="30"/>
    <x v="88"/>
    <x v="196"/>
    <x v="81"/>
    <x v="3"/>
    <x v="4"/>
  </r>
  <r>
    <x v="0"/>
    <x v="55"/>
    <x v="55"/>
    <x v="59"/>
    <x v="59"/>
    <x v="59"/>
    <x v="18"/>
    <x v="232"/>
    <x v="30"/>
    <x v="49"/>
    <x v="325"/>
    <x v="63"/>
    <x v="79"/>
    <x v="4"/>
  </r>
  <r>
    <x v="0"/>
    <x v="56"/>
    <x v="56"/>
    <x v="0"/>
    <x v="0"/>
    <x v="0"/>
    <x v="0"/>
    <x v="138"/>
    <x v="312"/>
    <x v="43"/>
    <x v="530"/>
    <x v="118"/>
    <x v="173"/>
    <x v="4"/>
  </r>
  <r>
    <x v="0"/>
    <x v="56"/>
    <x v="56"/>
    <x v="42"/>
    <x v="42"/>
    <x v="42"/>
    <x v="1"/>
    <x v="220"/>
    <x v="177"/>
    <x v="49"/>
    <x v="13"/>
    <x v="47"/>
    <x v="366"/>
    <x v="4"/>
  </r>
  <r>
    <x v="0"/>
    <x v="56"/>
    <x v="56"/>
    <x v="3"/>
    <x v="3"/>
    <x v="3"/>
    <x v="2"/>
    <x v="222"/>
    <x v="313"/>
    <x v="118"/>
    <x v="531"/>
    <x v="81"/>
    <x v="156"/>
    <x v="4"/>
  </r>
  <r>
    <x v="0"/>
    <x v="56"/>
    <x v="56"/>
    <x v="1"/>
    <x v="1"/>
    <x v="1"/>
    <x v="3"/>
    <x v="228"/>
    <x v="208"/>
    <x v="77"/>
    <x v="359"/>
    <x v="154"/>
    <x v="267"/>
    <x v="4"/>
  </r>
  <r>
    <x v="0"/>
    <x v="56"/>
    <x v="56"/>
    <x v="35"/>
    <x v="35"/>
    <x v="35"/>
    <x v="4"/>
    <x v="231"/>
    <x v="44"/>
    <x v="49"/>
    <x v="13"/>
    <x v="122"/>
    <x v="367"/>
    <x v="4"/>
  </r>
  <r>
    <x v="0"/>
    <x v="56"/>
    <x v="56"/>
    <x v="41"/>
    <x v="41"/>
    <x v="41"/>
    <x v="4"/>
    <x v="231"/>
    <x v="44"/>
    <x v="88"/>
    <x v="532"/>
    <x v="121"/>
    <x v="98"/>
    <x v="4"/>
  </r>
  <r>
    <x v="0"/>
    <x v="56"/>
    <x v="56"/>
    <x v="8"/>
    <x v="8"/>
    <x v="8"/>
    <x v="6"/>
    <x v="233"/>
    <x v="83"/>
    <x v="61"/>
    <x v="319"/>
    <x v="51"/>
    <x v="65"/>
    <x v="4"/>
  </r>
  <r>
    <x v="0"/>
    <x v="56"/>
    <x v="56"/>
    <x v="18"/>
    <x v="18"/>
    <x v="18"/>
    <x v="6"/>
    <x v="233"/>
    <x v="83"/>
    <x v="53"/>
    <x v="533"/>
    <x v="74"/>
    <x v="113"/>
    <x v="4"/>
  </r>
  <r>
    <x v="0"/>
    <x v="56"/>
    <x v="56"/>
    <x v="7"/>
    <x v="7"/>
    <x v="7"/>
    <x v="6"/>
    <x v="233"/>
    <x v="83"/>
    <x v="81"/>
    <x v="534"/>
    <x v="121"/>
    <x v="98"/>
    <x v="4"/>
  </r>
  <r>
    <x v="0"/>
    <x v="56"/>
    <x v="56"/>
    <x v="36"/>
    <x v="36"/>
    <x v="36"/>
    <x v="6"/>
    <x v="233"/>
    <x v="83"/>
    <x v="58"/>
    <x v="291"/>
    <x v="81"/>
    <x v="156"/>
    <x v="4"/>
  </r>
  <r>
    <x v="0"/>
    <x v="56"/>
    <x v="56"/>
    <x v="39"/>
    <x v="39"/>
    <x v="39"/>
    <x v="10"/>
    <x v="234"/>
    <x v="47"/>
    <x v="49"/>
    <x v="13"/>
    <x v="51"/>
    <x v="65"/>
    <x v="4"/>
  </r>
  <r>
    <x v="0"/>
    <x v="56"/>
    <x v="56"/>
    <x v="46"/>
    <x v="46"/>
    <x v="46"/>
    <x v="10"/>
    <x v="234"/>
    <x v="47"/>
    <x v="61"/>
    <x v="319"/>
    <x v="54"/>
    <x v="35"/>
    <x v="4"/>
  </r>
  <r>
    <x v="0"/>
    <x v="56"/>
    <x v="56"/>
    <x v="9"/>
    <x v="9"/>
    <x v="9"/>
    <x v="10"/>
    <x v="234"/>
    <x v="47"/>
    <x v="49"/>
    <x v="13"/>
    <x v="51"/>
    <x v="65"/>
    <x v="4"/>
  </r>
  <r>
    <x v="0"/>
    <x v="56"/>
    <x v="56"/>
    <x v="17"/>
    <x v="17"/>
    <x v="17"/>
    <x v="10"/>
    <x v="234"/>
    <x v="47"/>
    <x v="53"/>
    <x v="533"/>
    <x v="81"/>
    <x v="156"/>
    <x v="4"/>
  </r>
  <r>
    <x v="0"/>
    <x v="56"/>
    <x v="56"/>
    <x v="4"/>
    <x v="4"/>
    <x v="4"/>
    <x v="10"/>
    <x v="234"/>
    <x v="47"/>
    <x v="61"/>
    <x v="319"/>
    <x v="54"/>
    <x v="35"/>
    <x v="4"/>
  </r>
  <r>
    <x v="0"/>
    <x v="56"/>
    <x v="56"/>
    <x v="6"/>
    <x v="6"/>
    <x v="6"/>
    <x v="10"/>
    <x v="234"/>
    <x v="47"/>
    <x v="58"/>
    <x v="291"/>
    <x v="121"/>
    <x v="98"/>
    <x v="4"/>
  </r>
  <r>
    <x v="0"/>
    <x v="56"/>
    <x v="56"/>
    <x v="33"/>
    <x v="33"/>
    <x v="33"/>
    <x v="16"/>
    <x v="235"/>
    <x v="14"/>
    <x v="53"/>
    <x v="533"/>
    <x v="121"/>
    <x v="98"/>
    <x v="4"/>
  </r>
  <r>
    <x v="0"/>
    <x v="56"/>
    <x v="56"/>
    <x v="16"/>
    <x v="16"/>
    <x v="16"/>
    <x v="16"/>
    <x v="235"/>
    <x v="14"/>
    <x v="61"/>
    <x v="319"/>
    <x v="74"/>
    <x v="113"/>
    <x v="4"/>
  </r>
  <r>
    <x v="0"/>
    <x v="56"/>
    <x v="56"/>
    <x v="2"/>
    <x v="2"/>
    <x v="2"/>
    <x v="16"/>
    <x v="235"/>
    <x v="14"/>
    <x v="53"/>
    <x v="533"/>
    <x v="121"/>
    <x v="98"/>
    <x v="4"/>
  </r>
  <r>
    <x v="0"/>
    <x v="56"/>
    <x v="56"/>
    <x v="5"/>
    <x v="5"/>
    <x v="5"/>
    <x v="16"/>
    <x v="235"/>
    <x v="14"/>
    <x v="53"/>
    <x v="533"/>
    <x v="121"/>
    <x v="98"/>
    <x v="4"/>
  </r>
  <r>
    <x v="0"/>
    <x v="56"/>
    <x v="56"/>
    <x v="28"/>
    <x v="28"/>
    <x v="28"/>
    <x v="16"/>
    <x v="235"/>
    <x v="14"/>
    <x v="66"/>
    <x v="72"/>
    <x v="51"/>
    <x v="65"/>
    <x v="4"/>
  </r>
  <r>
    <x v="0"/>
    <x v="57"/>
    <x v="57"/>
    <x v="45"/>
    <x v="45"/>
    <x v="45"/>
    <x v="0"/>
    <x v="210"/>
    <x v="314"/>
    <x v="116"/>
    <x v="460"/>
    <x v="80"/>
    <x v="368"/>
    <x v="4"/>
  </r>
  <r>
    <x v="0"/>
    <x v="57"/>
    <x v="57"/>
    <x v="3"/>
    <x v="3"/>
    <x v="3"/>
    <x v="1"/>
    <x v="211"/>
    <x v="265"/>
    <x v="68"/>
    <x v="535"/>
    <x v="154"/>
    <x v="267"/>
    <x v="1"/>
  </r>
  <r>
    <x v="0"/>
    <x v="57"/>
    <x v="57"/>
    <x v="2"/>
    <x v="2"/>
    <x v="2"/>
    <x v="2"/>
    <x v="225"/>
    <x v="315"/>
    <x v="56"/>
    <x v="536"/>
    <x v="54"/>
    <x v="28"/>
    <x v="4"/>
  </r>
  <r>
    <x v="0"/>
    <x v="57"/>
    <x v="57"/>
    <x v="1"/>
    <x v="1"/>
    <x v="1"/>
    <x v="3"/>
    <x v="226"/>
    <x v="274"/>
    <x v="101"/>
    <x v="537"/>
    <x v="154"/>
    <x v="267"/>
    <x v="4"/>
  </r>
  <r>
    <x v="0"/>
    <x v="57"/>
    <x v="57"/>
    <x v="73"/>
    <x v="73"/>
    <x v="73"/>
    <x v="4"/>
    <x v="229"/>
    <x v="170"/>
    <x v="61"/>
    <x v="292"/>
    <x v="124"/>
    <x v="369"/>
    <x v="4"/>
  </r>
  <r>
    <x v="0"/>
    <x v="57"/>
    <x v="57"/>
    <x v="36"/>
    <x v="36"/>
    <x v="36"/>
    <x v="4"/>
    <x v="229"/>
    <x v="170"/>
    <x v="95"/>
    <x v="305"/>
    <x v="74"/>
    <x v="77"/>
    <x v="4"/>
  </r>
  <r>
    <x v="0"/>
    <x v="57"/>
    <x v="57"/>
    <x v="8"/>
    <x v="8"/>
    <x v="8"/>
    <x v="6"/>
    <x v="232"/>
    <x v="22"/>
    <x v="48"/>
    <x v="538"/>
    <x v="74"/>
    <x v="77"/>
    <x v="4"/>
  </r>
  <r>
    <x v="0"/>
    <x v="57"/>
    <x v="57"/>
    <x v="14"/>
    <x v="14"/>
    <x v="14"/>
    <x v="7"/>
    <x v="231"/>
    <x v="252"/>
    <x v="61"/>
    <x v="292"/>
    <x v="118"/>
    <x v="174"/>
    <x v="4"/>
  </r>
  <r>
    <x v="0"/>
    <x v="57"/>
    <x v="57"/>
    <x v="6"/>
    <x v="6"/>
    <x v="6"/>
    <x v="8"/>
    <x v="236"/>
    <x v="194"/>
    <x v="88"/>
    <x v="539"/>
    <x v="154"/>
    <x v="267"/>
    <x v="4"/>
  </r>
  <r>
    <x v="0"/>
    <x v="57"/>
    <x v="57"/>
    <x v="5"/>
    <x v="5"/>
    <x v="5"/>
    <x v="8"/>
    <x v="236"/>
    <x v="194"/>
    <x v="81"/>
    <x v="229"/>
    <x v="81"/>
    <x v="152"/>
    <x v="4"/>
  </r>
  <r>
    <x v="0"/>
    <x v="57"/>
    <x v="57"/>
    <x v="65"/>
    <x v="65"/>
    <x v="65"/>
    <x v="10"/>
    <x v="233"/>
    <x v="141"/>
    <x v="49"/>
    <x v="13"/>
    <x v="78"/>
    <x v="89"/>
    <x v="4"/>
  </r>
  <r>
    <x v="0"/>
    <x v="57"/>
    <x v="57"/>
    <x v="77"/>
    <x v="77"/>
    <x v="77"/>
    <x v="10"/>
    <x v="233"/>
    <x v="141"/>
    <x v="116"/>
    <x v="460"/>
    <x v="54"/>
    <x v="28"/>
    <x v="4"/>
  </r>
  <r>
    <x v="0"/>
    <x v="57"/>
    <x v="57"/>
    <x v="39"/>
    <x v="39"/>
    <x v="39"/>
    <x v="10"/>
    <x v="233"/>
    <x v="141"/>
    <x v="49"/>
    <x v="13"/>
    <x v="78"/>
    <x v="89"/>
    <x v="4"/>
  </r>
  <r>
    <x v="0"/>
    <x v="57"/>
    <x v="57"/>
    <x v="11"/>
    <x v="11"/>
    <x v="11"/>
    <x v="13"/>
    <x v="234"/>
    <x v="28"/>
    <x v="66"/>
    <x v="72"/>
    <x v="78"/>
    <x v="89"/>
    <x v="4"/>
  </r>
  <r>
    <x v="0"/>
    <x v="57"/>
    <x v="57"/>
    <x v="13"/>
    <x v="13"/>
    <x v="13"/>
    <x v="13"/>
    <x v="234"/>
    <x v="28"/>
    <x v="66"/>
    <x v="72"/>
    <x v="78"/>
    <x v="89"/>
    <x v="4"/>
  </r>
  <r>
    <x v="0"/>
    <x v="57"/>
    <x v="57"/>
    <x v="44"/>
    <x v="44"/>
    <x v="44"/>
    <x v="13"/>
    <x v="234"/>
    <x v="28"/>
    <x v="49"/>
    <x v="13"/>
    <x v="51"/>
    <x v="166"/>
    <x v="4"/>
  </r>
  <r>
    <x v="0"/>
    <x v="57"/>
    <x v="57"/>
    <x v="15"/>
    <x v="15"/>
    <x v="15"/>
    <x v="13"/>
    <x v="234"/>
    <x v="28"/>
    <x v="61"/>
    <x v="292"/>
    <x v="54"/>
    <x v="28"/>
    <x v="4"/>
  </r>
  <r>
    <x v="0"/>
    <x v="57"/>
    <x v="57"/>
    <x v="40"/>
    <x v="40"/>
    <x v="40"/>
    <x v="13"/>
    <x v="234"/>
    <x v="28"/>
    <x v="53"/>
    <x v="540"/>
    <x v="81"/>
    <x v="152"/>
    <x v="4"/>
  </r>
  <r>
    <x v="0"/>
    <x v="57"/>
    <x v="57"/>
    <x v="53"/>
    <x v="53"/>
    <x v="53"/>
    <x v="18"/>
    <x v="235"/>
    <x v="16"/>
    <x v="61"/>
    <x v="292"/>
    <x v="74"/>
    <x v="77"/>
    <x v="4"/>
  </r>
  <r>
    <x v="0"/>
    <x v="57"/>
    <x v="57"/>
    <x v="64"/>
    <x v="64"/>
    <x v="64"/>
    <x v="18"/>
    <x v="235"/>
    <x v="16"/>
    <x v="66"/>
    <x v="72"/>
    <x v="51"/>
    <x v="166"/>
    <x v="4"/>
  </r>
  <r>
    <x v="0"/>
    <x v="57"/>
    <x v="57"/>
    <x v="10"/>
    <x v="10"/>
    <x v="10"/>
    <x v="18"/>
    <x v="235"/>
    <x v="16"/>
    <x v="49"/>
    <x v="13"/>
    <x v="54"/>
    <x v="28"/>
    <x v="4"/>
  </r>
  <r>
    <x v="0"/>
    <x v="57"/>
    <x v="57"/>
    <x v="4"/>
    <x v="4"/>
    <x v="4"/>
    <x v="18"/>
    <x v="235"/>
    <x v="16"/>
    <x v="61"/>
    <x v="292"/>
    <x v="74"/>
    <x v="77"/>
    <x v="4"/>
  </r>
  <r>
    <x v="0"/>
    <x v="57"/>
    <x v="57"/>
    <x v="74"/>
    <x v="74"/>
    <x v="74"/>
    <x v="18"/>
    <x v="235"/>
    <x v="16"/>
    <x v="66"/>
    <x v="72"/>
    <x v="81"/>
    <x v="152"/>
    <x v="4"/>
  </r>
  <r>
    <x v="0"/>
    <x v="58"/>
    <x v="58"/>
    <x v="0"/>
    <x v="0"/>
    <x v="0"/>
    <x v="0"/>
    <x v="133"/>
    <x v="271"/>
    <x v="105"/>
    <x v="541"/>
    <x v="118"/>
    <x v="370"/>
    <x v="4"/>
  </r>
  <r>
    <x v="0"/>
    <x v="58"/>
    <x v="58"/>
    <x v="1"/>
    <x v="1"/>
    <x v="1"/>
    <x v="1"/>
    <x v="208"/>
    <x v="316"/>
    <x v="117"/>
    <x v="542"/>
    <x v="74"/>
    <x v="195"/>
    <x v="4"/>
  </r>
  <r>
    <x v="0"/>
    <x v="58"/>
    <x v="58"/>
    <x v="2"/>
    <x v="2"/>
    <x v="2"/>
    <x v="2"/>
    <x v="139"/>
    <x v="76"/>
    <x v="176"/>
    <x v="543"/>
    <x v="54"/>
    <x v="90"/>
    <x v="4"/>
  </r>
  <r>
    <x v="0"/>
    <x v="58"/>
    <x v="58"/>
    <x v="5"/>
    <x v="5"/>
    <x v="5"/>
    <x v="3"/>
    <x v="142"/>
    <x v="306"/>
    <x v="119"/>
    <x v="544"/>
    <x v="121"/>
    <x v="3"/>
    <x v="4"/>
  </r>
  <r>
    <x v="0"/>
    <x v="58"/>
    <x v="58"/>
    <x v="3"/>
    <x v="3"/>
    <x v="3"/>
    <x v="4"/>
    <x v="209"/>
    <x v="129"/>
    <x v="43"/>
    <x v="545"/>
    <x v="121"/>
    <x v="3"/>
    <x v="4"/>
  </r>
  <r>
    <x v="0"/>
    <x v="58"/>
    <x v="58"/>
    <x v="6"/>
    <x v="6"/>
    <x v="6"/>
    <x v="5"/>
    <x v="210"/>
    <x v="317"/>
    <x v="128"/>
    <x v="546"/>
    <x v="121"/>
    <x v="3"/>
    <x v="4"/>
  </r>
  <r>
    <x v="0"/>
    <x v="58"/>
    <x v="58"/>
    <x v="4"/>
    <x v="4"/>
    <x v="4"/>
    <x v="6"/>
    <x v="220"/>
    <x v="66"/>
    <x v="100"/>
    <x v="547"/>
    <x v="74"/>
    <x v="195"/>
    <x v="4"/>
  </r>
  <r>
    <x v="0"/>
    <x v="58"/>
    <x v="58"/>
    <x v="7"/>
    <x v="7"/>
    <x v="7"/>
    <x v="7"/>
    <x v="211"/>
    <x v="197"/>
    <x v="89"/>
    <x v="22"/>
    <x v="154"/>
    <x v="267"/>
    <x v="4"/>
  </r>
  <r>
    <x v="0"/>
    <x v="58"/>
    <x v="58"/>
    <x v="8"/>
    <x v="8"/>
    <x v="8"/>
    <x v="8"/>
    <x v="230"/>
    <x v="194"/>
    <x v="53"/>
    <x v="282"/>
    <x v="118"/>
    <x v="370"/>
    <x v="4"/>
  </r>
  <r>
    <x v="0"/>
    <x v="58"/>
    <x v="58"/>
    <x v="10"/>
    <x v="10"/>
    <x v="10"/>
    <x v="8"/>
    <x v="230"/>
    <x v="194"/>
    <x v="48"/>
    <x v="366"/>
    <x v="54"/>
    <x v="90"/>
    <x v="4"/>
  </r>
  <r>
    <x v="0"/>
    <x v="58"/>
    <x v="58"/>
    <x v="26"/>
    <x v="26"/>
    <x v="26"/>
    <x v="10"/>
    <x v="232"/>
    <x v="59"/>
    <x v="48"/>
    <x v="366"/>
    <x v="74"/>
    <x v="195"/>
    <x v="4"/>
  </r>
  <r>
    <x v="0"/>
    <x v="58"/>
    <x v="58"/>
    <x v="17"/>
    <x v="17"/>
    <x v="17"/>
    <x v="11"/>
    <x v="231"/>
    <x v="11"/>
    <x v="48"/>
    <x v="366"/>
    <x v="81"/>
    <x v="208"/>
    <x v="4"/>
  </r>
  <r>
    <x v="0"/>
    <x v="58"/>
    <x v="58"/>
    <x v="39"/>
    <x v="39"/>
    <x v="39"/>
    <x v="12"/>
    <x v="236"/>
    <x v="49"/>
    <x v="116"/>
    <x v="197"/>
    <x v="51"/>
    <x v="48"/>
    <x v="4"/>
  </r>
  <r>
    <x v="0"/>
    <x v="58"/>
    <x v="58"/>
    <x v="30"/>
    <x v="30"/>
    <x v="30"/>
    <x v="12"/>
    <x v="236"/>
    <x v="49"/>
    <x v="88"/>
    <x v="217"/>
    <x v="154"/>
    <x v="267"/>
    <x v="4"/>
  </r>
  <r>
    <x v="0"/>
    <x v="58"/>
    <x v="58"/>
    <x v="16"/>
    <x v="16"/>
    <x v="16"/>
    <x v="12"/>
    <x v="236"/>
    <x v="49"/>
    <x v="53"/>
    <x v="282"/>
    <x v="54"/>
    <x v="90"/>
    <x v="4"/>
  </r>
  <r>
    <x v="0"/>
    <x v="58"/>
    <x v="58"/>
    <x v="78"/>
    <x v="78"/>
    <x v="78"/>
    <x v="12"/>
    <x v="236"/>
    <x v="49"/>
    <x v="66"/>
    <x v="72"/>
    <x v="154"/>
    <x v="267"/>
    <x v="4"/>
  </r>
  <r>
    <x v="0"/>
    <x v="58"/>
    <x v="58"/>
    <x v="19"/>
    <x v="19"/>
    <x v="19"/>
    <x v="12"/>
    <x v="236"/>
    <x v="49"/>
    <x v="88"/>
    <x v="217"/>
    <x v="154"/>
    <x v="267"/>
    <x v="4"/>
  </r>
  <r>
    <x v="0"/>
    <x v="58"/>
    <x v="58"/>
    <x v="45"/>
    <x v="45"/>
    <x v="45"/>
    <x v="17"/>
    <x v="233"/>
    <x v="33"/>
    <x v="66"/>
    <x v="72"/>
    <x v="118"/>
    <x v="370"/>
    <x v="4"/>
  </r>
  <r>
    <x v="0"/>
    <x v="58"/>
    <x v="58"/>
    <x v="33"/>
    <x v="33"/>
    <x v="33"/>
    <x v="17"/>
    <x v="233"/>
    <x v="33"/>
    <x v="58"/>
    <x v="463"/>
    <x v="81"/>
    <x v="208"/>
    <x v="4"/>
  </r>
  <r>
    <x v="0"/>
    <x v="58"/>
    <x v="58"/>
    <x v="15"/>
    <x v="15"/>
    <x v="15"/>
    <x v="17"/>
    <x v="233"/>
    <x v="33"/>
    <x v="116"/>
    <x v="197"/>
    <x v="54"/>
    <x v="90"/>
    <x v="4"/>
  </r>
  <r>
    <x v="0"/>
    <x v="59"/>
    <x v="59"/>
    <x v="0"/>
    <x v="0"/>
    <x v="0"/>
    <x v="0"/>
    <x v="199"/>
    <x v="318"/>
    <x v="38"/>
    <x v="548"/>
    <x v="90"/>
    <x v="349"/>
    <x v="4"/>
  </r>
  <r>
    <x v="0"/>
    <x v="59"/>
    <x v="59"/>
    <x v="11"/>
    <x v="11"/>
    <x v="11"/>
    <x v="1"/>
    <x v="211"/>
    <x v="319"/>
    <x v="49"/>
    <x v="69"/>
    <x v="80"/>
    <x v="371"/>
    <x v="4"/>
  </r>
  <r>
    <x v="0"/>
    <x v="59"/>
    <x v="59"/>
    <x v="1"/>
    <x v="1"/>
    <x v="1"/>
    <x v="2"/>
    <x v="221"/>
    <x v="215"/>
    <x v="118"/>
    <x v="391"/>
    <x v="74"/>
    <x v="372"/>
    <x v="4"/>
  </r>
  <r>
    <x v="0"/>
    <x v="59"/>
    <x v="59"/>
    <x v="2"/>
    <x v="2"/>
    <x v="2"/>
    <x v="3"/>
    <x v="222"/>
    <x v="320"/>
    <x v="77"/>
    <x v="549"/>
    <x v="81"/>
    <x v="62"/>
    <x v="5"/>
  </r>
  <r>
    <x v="0"/>
    <x v="59"/>
    <x v="59"/>
    <x v="3"/>
    <x v="3"/>
    <x v="3"/>
    <x v="4"/>
    <x v="226"/>
    <x v="22"/>
    <x v="77"/>
    <x v="549"/>
    <x v="121"/>
    <x v="198"/>
    <x v="4"/>
  </r>
  <r>
    <x v="0"/>
    <x v="59"/>
    <x v="59"/>
    <x v="9"/>
    <x v="9"/>
    <x v="9"/>
    <x v="5"/>
    <x v="228"/>
    <x v="241"/>
    <x v="81"/>
    <x v="352"/>
    <x v="118"/>
    <x v="303"/>
    <x v="4"/>
  </r>
  <r>
    <x v="0"/>
    <x v="59"/>
    <x v="59"/>
    <x v="32"/>
    <x v="32"/>
    <x v="32"/>
    <x v="6"/>
    <x v="229"/>
    <x v="108"/>
    <x v="49"/>
    <x v="69"/>
    <x v="99"/>
    <x v="55"/>
    <x v="4"/>
  </r>
  <r>
    <x v="0"/>
    <x v="59"/>
    <x v="59"/>
    <x v="7"/>
    <x v="7"/>
    <x v="7"/>
    <x v="6"/>
    <x v="229"/>
    <x v="108"/>
    <x v="56"/>
    <x v="349"/>
    <x v="154"/>
    <x v="267"/>
    <x v="4"/>
  </r>
  <r>
    <x v="0"/>
    <x v="59"/>
    <x v="59"/>
    <x v="6"/>
    <x v="6"/>
    <x v="6"/>
    <x v="6"/>
    <x v="229"/>
    <x v="108"/>
    <x v="56"/>
    <x v="349"/>
    <x v="154"/>
    <x v="267"/>
    <x v="4"/>
  </r>
  <r>
    <x v="0"/>
    <x v="59"/>
    <x v="59"/>
    <x v="13"/>
    <x v="13"/>
    <x v="13"/>
    <x v="9"/>
    <x v="230"/>
    <x v="148"/>
    <x v="66"/>
    <x v="72"/>
    <x v="99"/>
    <x v="55"/>
    <x v="4"/>
  </r>
  <r>
    <x v="0"/>
    <x v="59"/>
    <x v="59"/>
    <x v="8"/>
    <x v="8"/>
    <x v="8"/>
    <x v="9"/>
    <x v="230"/>
    <x v="148"/>
    <x v="88"/>
    <x v="376"/>
    <x v="74"/>
    <x v="372"/>
    <x v="4"/>
  </r>
  <r>
    <x v="0"/>
    <x v="59"/>
    <x v="59"/>
    <x v="16"/>
    <x v="16"/>
    <x v="16"/>
    <x v="11"/>
    <x v="232"/>
    <x v="60"/>
    <x v="81"/>
    <x v="352"/>
    <x v="54"/>
    <x v="184"/>
    <x v="4"/>
  </r>
  <r>
    <x v="0"/>
    <x v="59"/>
    <x v="59"/>
    <x v="14"/>
    <x v="14"/>
    <x v="14"/>
    <x v="12"/>
    <x v="231"/>
    <x v="73"/>
    <x v="61"/>
    <x v="84"/>
    <x v="118"/>
    <x v="303"/>
    <x v="4"/>
  </r>
  <r>
    <x v="0"/>
    <x v="59"/>
    <x v="59"/>
    <x v="49"/>
    <x v="49"/>
    <x v="49"/>
    <x v="12"/>
    <x v="231"/>
    <x v="73"/>
    <x v="66"/>
    <x v="72"/>
    <x v="63"/>
    <x v="227"/>
    <x v="4"/>
  </r>
  <r>
    <x v="0"/>
    <x v="59"/>
    <x v="59"/>
    <x v="19"/>
    <x v="19"/>
    <x v="19"/>
    <x v="12"/>
    <x v="231"/>
    <x v="73"/>
    <x v="48"/>
    <x v="211"/>
    <x v="81"/>
    <x v="62"/>
    <x v="4"/>
  </r>
  <r>
    <x v="0"/>
    <x v="59"/>
    <x v="59"/>
    <x v="36"/>
    <x v="36"/>
    <x v="36"/>
    <x v="12"/>
    <x v="231"/>
    <x v="73"/>
    <x v="81"/>
    <x v="352"/>
    <x v="74"/>
    <x v="372"/>
    <x v="4"/>
  </r>
  <r>
    <x v="0"/>
    <x v="59"/>
    <x v="59"/>
    <x v="79"/>
    <x v="79"/>
    <x v="79"/>
    <x v="16"/>
    <x v="236"/>
    <x v="75"/>
    <x v="66"/>
    <x v="72"/>
    <x v="122"/>
    <x v="182"/>
    <x v="4"/>
  </r>
  <r>
    <x v="0"/>
    <x v="59"/>
    <x v="59"/>
    <x v="15"/>
    <x v="15"/>
    <x v="15"/>
    <x v="16"/>
    <x v="236"/>
    <x v="75"/>
    <x v="116"/>
    <x v="159"/>
    <x v="51"/>
    <x v="202"/>
    <x v="4"/>
  </r>
  <r>
    <x v="0"/>
    <x v="59"/>
    <x v="59"/>
    <x v="10"/>
    <x v="10"/>
    <x v="10"/>
    <x v="16"/>
    <x v="236"/>
    <x v="75"/>
    <x v="88"/>
    <x v="376"/>
    <x v="154"/>
    <x v="267"/>
    <x v="4"/>
  </r>
  <r>
    <x v="0"/>
    <x v="59"/>
    <x v="59"/>
    <x v="20"/>
    <x v="20"/>
    <x v="20"/>
    <x v="16"/>
    <x v="236"/>
    <x v="75"/>
    <x v="88"/>
    <x v="376"/>
    <x v="154"/>
    <x v="267"/>
    <x v="4"/>
  </r>
  <r>
    <x v="0"/>
    <x v="60"/>
    <x v="60"/>
    <x v="1"/>
    <x v="1"/>
    <x v="1"/>
    <x v="0"/>
    <x v="129"/>
    <x v="310"/>
    <x v="78"/>
    <x v="550"/>
    <x v="63"/>
    <x v="287"/>
    <x v="4"/>
  </r>
  <r>
    <x v="0"/>
    <x v="60"/>
    <x v="60"/>
    <x v="0"/>
    <x v="0"/>
    <x v="0"/>
    <x v="1"/>
    <x v="130"/>
    <x v="277"/>
    <x v="77"/>
    <x v="384"/>
    <x v="108"/>
    <x v="373"/>
    <x v="4"/>
  </r>
  <r>
    <x v="0"/>
    <x v="60"/>
    <x v="60"/>
    <x v="4"/>
    <x v="4"/>
    <x v="4"/>
    <x v="2"/>
    <x v="219"/>
    <x v="158"/>
    <x v="119"/>
    <x v="391"/>
    <x v="118"/>
    <x v="347"/>
    <x v="4"/>
  </r>
  <r>
    <x v="0"/>
    <x v="60"/>
    <x v="60"/>
    <x v="5"/>
    <x v="5"/>
    <x v="5"/>
    <x v="2"/>
    <x v="219"/>
    <x v="158"/>
    <x v="117"/>
    <x v="551"/>
    <x v="121"/>
    <x v="131"/>
    <x v="4"/>
  </r>
  <r>
    <x v="0"/>
    <x v="60"/>
    <x v="60"/>
    <x v="3"/>
    <x v="3"/>
    <x v="3"/>
    <x v="4"/>
    <x v="138"/>
    <x v="209"/>
    <x v="134"/>
    <x v="23"/>
    <x v="121"/>
    <x v="131"/>
    <x v="4"/>
  </r>
  <r>
    <x v="0"/>
    <x v="60"/>
    <x v="60"/>
    <x v="2"/>
    <x v="2"/>
    <x v="2"/>
    <x v="5"/>
    <x v="140"/>
    <x v="321"/>
    <x v="128"/>
    <x v="28"/>
    <x v="78"/>
    <x v="110"/>
    <x v="4"/>
  </r>
  <r>
    <x v="0"/>
    <x v="60"/>
    <x v="60"/>
    <x v="7"/>
    <x v="7"/>
    <x v="7"/>
    <x v="6"/>
    <x v="224"/>
    <x v="19"/>
    <x v="32"/>
    <x v="152"/>
    <x v="154"/>
    <x v="267"/>
    <x v="4"/>
  </r>
  <r>
    <x v="0"/>
    <x v="60"/>
    <x v="60"/>
    <x v="12"/>
    <x v="12"/>
    <x v="12"/>
    <x v="7"/>
    <x v="211"/>
    <x v="241"/>
    <x v="61"/>
    <x v="35"/>
    <x v="97"/>
    <x v="188"/>
    <x v="4"/>
  </r>
  <r>
    <x v="0"/>
    <x v="60"/>
    <x v="60"/>
    <x v="6"/>
    <x v="6"/>
    <x v="6"/>
    <x v="7"/>
    <x v="211"/>
    <x v="241"/>
    <x v="143"/>
    <x v="67"/>
    <x v="74"/>
    <x v="207"/>
    <x v="4"/>
  </r>
  <r>
    <x v="0"/>
    <x v="60"/>
    <x v="60"/>
    <x v="53"/>
    <x v="53"/>
    <x v="53"/>
    <x v="9"/>
    <x v="221"/>
    <x v="192"/>
    <x v="116"/>
    <x v="103"/>
    <x v="70"/>
    <x v="374"/>
    <x v="4"/>
  </r>
  <r>
    <x v="0"/>
    <x v="60"/>
    <x v="60"/>
    <x v="14"/>
    <x v="14"/>
    <x v="14"/>
    <x v="10"/>
    <x v="225"/>
    <x v="280"/>
    <x v="49"/>
    <x v="37"/>
    <x v="70"/>
    <x v="374"/>
    <x v="4"/>
  </r>
  <r>
    <x v="0"/>
    <x v="60"/>
    <x v="60"/>
    <x v="11"/>
    <x v="11"/>
    <x v="11"/>
    <x v="10"/>
    <x v="225"/>
    <x v="280"/>
    <x v="53"/>
    <x v="184"/>
    <x v="64"/>
    <x v="60"/>
    <x v="4"/>
  </r>
  <r>
    <x v="0"/>
    <x v="60"/>
    <x v="60"/>
    <x v="19"/>
    <x v="19"/>
    <x v="19"/>
    <x v="12"/>
    <x v="227"/>
    <x v="188"/>
    <x v="95"/>
    <x v="10"/>
    <x v="78"/>
    <x v="110"/>
    <x v="4"/>
  </r>
  <r>
    <x v="0"/>
    <x v="60"/>
    <x v="60"/>
    <x v="33"/>
    <x v="33"/>
    <x v="33"/>
    <x v="13"/>
    <x v="230"/>
    <x v="134"/>
    <x v="95"/>
    <x v="10"/>
    <x v="81"/>
    <x v="146"/>
    <x v="4"/>
  </r>
  <r>
    <x v="0"/>
    <x v="60"/>
    <x v="60"/>
    <x v="10"/>
    <x v="10"/>
    <x v="10"/>
    <x v="13"/>
    <x v="230"/>
    <x v="134"/>
    <x v="48"/>
    <x v="318"/>
    <x v="54"/>
    <x v="41"/>
    <x v="4"/>
  </r>
  <r>
    <x v="0"/>
    <x v="60"/>
    <x v="60"/>
    <x v="26"/>
    <x v="26"/>
    <x v="26"/>
    <x v="13"/>
    <x v="230"/>
    <x v="134"/>
    <x v="88"/>
    <x v="284"/>
    <x v="74"/>
    <x v="207"/>
    <x v="4"/>
  </r>
  <r>
    <x v="0"/>
    <x v="60"/>
    <x v="60"/>
    <x v="8"/>
    <x v="8"/>
    <x v="8"/>
    <x v="16"/>
    <x v="232"/>
    <x v="322"/>
    <x v="116"/>
    <x v="103"/>
    <x v="118"/>
    <x v="347"/>
    <x v="4"/>
  </r>
  <r>
    <x v="0"/>
    <x v="60"/>
    <x v="60"/>
    <x v="16"/>
    <x v="16"/>
    <x v="16"/>
    <x v="16"/>
    <x v="232"/>
    <x v="322"/>
    <x v="48"/>
    <x v="318"/>
    <x v="74"/>
    <x v="207"/>
    <x v="4"/>
  </r>
  <r>
    <x v="0"/>
    <x v="60"/>
    <x v="60"/>
    <x v="47"/>
    <x v="47"/>
    <x v="47"/>
    <x v="18"/>
    <x v="231"/>
    <x v="323"/>
    <x v="116"/>
    <x v="103"/>
    <x v="78"/>
    <x v="110"/>
    <x v="4"/>
  </r>
  <r>
    <x v="0"/>
    <x v="60"/>
    <x v="60"/>
    <x v="46"/>
    <x v="46"/>
    <x v="46"/>
    <x v="18"/>
    <x v="231"/>
    <x v="323"/>
    <x v="81"/>
    <x v="142"/>
    <x v="74"/>
    <x v="207"/>
    <x v="4"/>
  </r>
  <r>
    <x v="0"/>
    <x v="61"/>
    <x v="61"/>
    <x v="80"/>
    <x v="80"/>
    <x v="80"/>
    <x v="0"/>
    <x v="225"/>
    <x v="324"/>
    <x v="66"/>
    <x v="72"/>
    <x v="45"/>
    <x v="375"/>
    <x v="4"/>
  </r>
  <r>
    <x v="0"/>
    <x v="61"/>
    <x v="61"/>
    <x v="44"/>
    <x v="44"/>
    <x v="44"/>
    <x v="1"/>
    <x v="226"/>
    <x v="17"/>
    <x v="58"/>
    <x v="552"/>
    <x v="63"/>
    <x v="376"/>
    <x v="4"/>
  </r>
  <r>
    <x v="0"/>
    <x v="61"/>
    <x v="61"/>
    <x v="81"/>
    <x v="81"/>
    <x v="81"/>
    <x v="2"/>
    <x v="228"/>
    <x v="325"/>
    <x v="66"/>
    <x v="72"/>
    <x v="90"/>
    <x v="377"/>
    <x v="4"/>
  </r>
  <r>
    <x v="0"/>
    <x v="61"/>
    <x v="61"/>
    <x v="82"/>
    <x v="82"/>
    <x v="82"/>
    <x v="3"/>
    <x v="230"/>
    <x v="235"/>
    <x v="66"/>
    <x v="72"/>
    <x v="99"/>
    <x v="378"/>
    <x v="4"/>
  </r>
  <r>
    <x v="0"/>
    <x v="61"/>
    <x v="61"/>
    <x v="73"/>
    <x v="73"/>
    <x v="73"/>
    <x v="4"/>
    <x v="231"/>
    <x v="279"/>
    <x v="66"/>
    <x v="72"/>
    <x v="63"/>
    <x v="376"/>
    <x v="4"/>
  </r>
  <r>
    <x v="0"/>
    <x v="61"/>
    <x v="61"/>
    <x v="83"/>
    <x v="83"/>
    <x v="83"/>
    <x v="4"/>
    <x v="231"/>
    <x v="279"/>
    <x v="66"/>
    <x v="72"/>
    <x v="63"/>
    <x v="376"/>
    <x v="4"/>
  </r>
  <r>
    <x v="0"/>
    <x v="61"/>
    <x v="61"/>
    <x v="36"/>
    <x v="36"/>
    <x v="36"/>
    <x v="4"/>
    <x v="231"/>
    <x v="279"/>
    <x v="58"/>
    <x v="552"/>
    <x v="54"/>
    <x v="154"/>
    <x v="4"/>
  </r>
  <r>
    <x v="0"/>
    <x v="61"/>
    <x v="61"/>
    <x v="64"/>
    <x v="64"/>
    <x v="64"/>
    <x v="7"/>
    <x v="233"/>
    <x v="4"/>
    <x v="49"/>
    <x v="426"/>
    <x v="78"/>
    <x v="356"/>
    <x v="4"/>
  </r>
  <r>
    <x v="0"/>
    <x v="61"/>
    <x v="61"/>
    <x v="10"/>
    <x v="10"/>
    <x v="10"/>
    <x v="7"/>
    <x v="233"/>
    <x v="4"/>
    <x v="81"/>
    <x v="553"/>
    <x v="121"/>
    <x v="100"/>
    <x v="4"/>
  </r>
  <r>
    <x v="0"/>
    <x v="61"/>
    <x v="61"/>
    <x v="3"/>
    <x v="3"/>
    <x v="3"/>
    <x v="7"/>
    <x v="233"/>
    <x v="4"/>
    <x v="48"/>
    <x v="554"/>
    <x v="154"/>
    <x v="267"/>
    <x v="4"/>
  </r>
  <r>
    <x v="0"/>
    <x v="61"/>
    <x v="61"/>
    <x v="28"/>
    <x v="28"/>
    <x v="28"/>
    <x v="7"/>
    <x v="233"/>
    <x v="4"/>
    <x v="66"/>
    <x v="72"/>
    <x v="118"/>
    <x v="379"/>
    <x v="4"/>
  </r>
  <r>
    <x v="0"/>
    <x v="61"/>
    <x v="61"/>
    <x v="84"/>
    <x v="84"/>
    <x v="84"/>
    <x v="11"/>
    <x v="234"/>
    <x v="252"/>
    <x v="61"/>
    <x v="555"/>
    <x v="54"/>
    <x v="154"/>
    <x v="4"/>
  </r>
  <r>
    <x v="0"/>
    <x v="61"/>
    <x v="61"/>
    <x v="8"/>
    <x v="8"/>
    <x v="8"/>
    <x v="11"/>
    <x v="234"/>
    <x v="252"/>
    <x v="61"/>
    <x v="555"/>
    <x v="54"/>
    <x v="154"/>
    <x v="4"/>
  </r>
  <r>
    <x v="0"/>
    <x v="61"/>
    <x v="61"/>
    <x v="14"/>
    <x v="14"/>
    <x v="14"/>
    <x v="13"/>
    <x v="235"/>
    <x v="83"/>
    <x v="61"/>
    <x v="555"/>
    <x v="74"/>
    <x v="221"/>
    <x v="4"/>
  </r>
  <r>
    <x v="0"/>
    <x v="61"/>
    <x v="61"/>
    <x v="85"/>
    <x v="85"/>
    <x v="85"/>
    <x v="13"/>
    <x v="235"/>
    <x v="83"/>
    <x v="49"/>
    <x v="426"/>
    <x v="54"/>
    <x v="154"/>
    <x v="4"/>
  </r>
  <r>
    <x v="0"/>
    <x v="61"/>
    <x v="61"/>
    <x v="12"/>
    <x v="12"/>
    <x v="12"/>
    <x v="15"/>
    <x v="237"/>
    <x v="29"/>
    <x v="66"/>
    <x v="72"/>
    <x v="54"/>
    <x v="154"/>
    <x v="4"/>
  </r>
  <r>
    <x v="0"/>
    <x v="61"/>
    <x v="61"/>
    <x v="86"/>
    <x v="86"/>
    <x v="86"/>
    <x v="15"/>
    <x v="237"/>
    <x v="29"/>
    <x v="49"/>
    <x v="426"/>
    <x v="74"/>
    <x v="221"/>
    <x v="4"/>
  </r>
  <r>
    <x v="0"/>
    <x v="61"/>
    <x v="61"/>
    <x v="87"/>
    <x v="87"/>
    <x v="87"/>
    <x v="15"/>
    <x v="237"/>
    <x v="29"/>
    <x v="66"/>
    <x v="72"/>
    <x v="54"/>
    <x v="154"/>
    <x v="4"/>
  </r>
  <r>
    <x v="0"/>
    <x v="61"/>
    <x v="61"/>
    <x v="88"/>
    <x v="88"/>
    <x v="88"/>
    <x v="15"/>
    <x v="237"/>
    <x v="29"/>
    <x v="66"/>
    <x v="72"/>
    <x v="54"/>
    <x v="154"/>
    <x v="4"/>
  </r>
  <r>
    <x v="0"/>
    <x v="61"/>
    <x v="61"/>
    <x v="89"/>
    <x v="89"/>
    <x v="89"/>
    <x v="15"/>
    <x v="237"/>
    <x v="29"/>
    <x v="61"/>
    <x v="555"/>
    <x v="81"/>
    <x v="372"/>
    <x v="4"/>
  </r>
  <r>
    <x v="0"/>
    <x v="61"/>
    <x v="61"/>
    <x v="9"/>
    <x v="9"/>
    <x v="9"/>
    <x v="15"/>
    <x v="237"/>
    <x v="29"/>
    <x v="66"/>
    <x v="72"/>
    <x v="54"/>
    <x v="154"/>
    <x v="4"/>
  </r>
  <r>
    <x v="0"/>
    <x v="61"/>
    <x v="61"/>
    <x v="90"/>
    <x v="90"/>
    <x v="90"/>
    <x v="15"/>
    <x v="237"/>
    <x v="29"/>
    <x v="66"/>
    <x v="72"/>
    <x v="54"/>
    <x v="154"/>
    <x v="4"/>
  </r>
  <r>
    <x v="0"/>
    <x v="61"/>
    <x v="61"/>
    <x v="4"/>
    <x v="4"/>
    <x v="4"/>
    <x v="15"/>
    <x v="237"/>
    <x v="29"/>
    <x v="116"/>
    <x v="112"/>
    <x v="121"/>
    <x v="100"/>
    <x v="4"/>
  </r>
  <r>
    <x v="0"/>
    <x v="61"/>
    <x v="61"/>
    <x v="2"/>
    <x v="2"/>
    <x v="2"/>
    <x v="15"/>
    <x v="237"/>
    <x v="29"/>
    <x v="53"/>
    <x v="556"/>
    <x v="154"/>
    <x v="267"/>
    <x v="4"/>
  </r>
  <r>
    <x v="0"/>
    <x v="62"/>
    <x v="62"/>
    <x v="1"/>
    <x v="1"/>
    <x v="1"/>
    <x v="0"/>
    <x v="141"/>
    <x v="290"/>
    <x v="43"/>
    <x v="537"/>
    <x v="74"/>
    <x v="178"/>
    <x v="4"/>
  </r>
  <r>
    <x v="0"/>
    <x v="62"/>
    <x v="62"/>
    <x v="8"/>
    <x v="8"/>
    <x v="8"/>
    <x v="1"/>
    <x v="221"/>
    <x v="326"/>
    <x v="76"/>
    <x v="375"/>
    <x v="122"/>
    <x v="380"/>
    <x v="4"/>
  </r>
  <r>
    <x v="0"/>
    <x v="62"/>
    <x v="62"/>
    <x v="4"/>
    <x v="4"/>
    <x v="4"/>
    <x v="1"/>
    <x v="221"/>
    <x v="326"/>
    <x v="101"/>
    <x v="557"/>
    <x v="54"/>
    <x v="264"/>
    <x v="4"/>
  </r>
  <r>
    <x v="0"/>
    <x v="62"/>
    <x v="62"/>
    <x v="6"/>
    <x v="6"/>
    <x v="6"/>
    <x v="3"/>
    <x v="227"/>
    <x v="258"/>
    <x v="101"/>
    <x v="557"/>
    <x v="121"/>
    <x v="146"/>
    <x v="4"/>
  </r>
  <r>
    <x v="0"/>
    <x v="62"/>
    <x v="62"/>
    <x v="5"/>
    <x v="5"/>
    <x v="5"/>
    <x v="4"/>
    <x v="226"/>
    <x v="266"/>
    <x v="101"/>
    <x v="557"/>
    <x v="154"/>
    <x v="267"/>
    <x v="4"/>
  </r>
  <r>
    <x v="0"/>
    <x v="62"/>
    <x v="62"/>
    <x v="91"/>
    <x v="91"/>
    <x v="91"/>
    <x v="5"/>
    <x v="229"/>
    <x v="117"/>
    <x v="48"/>
    <x v="558"/>
    <x v="51"/>
    <x v="151"/>
    <x v="4"/>
  </r>
  <r>
    <x v="0"/>
    <x v="62"/>
    <x v="62"/>
    <x v="2"/>
    <x v="2"/>
    <x v="2"/>
    <x v="5"/>
    <x v="229"/>
    <x v="117"/>
    <x v="76"/>
    <x v="375"/>
    <x v="81"/>
    <x v="147"/>
    <x v="4"/>
  </r>
  <r>
    <x v="0"/>
    <x v="62"/>
    <x v="62"/>
    <x v="12"/>
    <x v="12"/>
    <x v="12"/>
    <x v="7"/>
    <x v="230"/>
    <x v="80"/>
    <x v="49"/>
    <x v="14"/>
    <x v="124"/>
    <x v="381"/>
    <x v="4"/>
  </r>
  <r>
    <x v="0"/>
    <x v="62"/>
    <x v="62"/>
    <x v="11"/>
    <x v="11"/>
    <x v="11"/>
    <x v="7"/>
    <x v="230"/>
    <x v="80"/>
    <x v="116"/>
    <x v="292"/>
    <x v="122"/>
    <x v="380"/>
    <x v="4"/>
  </r>
  <r>
    <x v="0"/>
    <x v="62"/>
    <x v="62"/>
    <x v="10"/>
    <x v="10"/>
    <x v="10"/>
    <x v="9"/>
    <x v="232"/>
    <x v="45"/>
    <x v="58"/>
    <x v="559"/>
    <x v="51"/>
    <x v="151"/>
    <x v="4"/>
  </r>
  <r>
    <x v="0"/>
    <x v="62"/>
    <x v="62"/>
    <x v="3"/>
    <x v="3"/>
    <x v="3"/>
    <x v="9"/>
    <x v="232"/>
    <x v="45"/>
    <x v="76"/>
    <x v="375"/>
    <x v="154"/>
    <x v="267"/>
    <x v="4"/>
  </r>
  <r>
    <x v="0"/>
    <x v="62"/>
    <x v="62"/>
    <x v="14"/>
    <x v="14"/>
    <x v="14"/>
    <x v="11"/>
    <x v="231"/>
    <x v="132"/>
    <x v="66"/>
    <x v="72"/>
    <x v="63"/>
    <x v="382"/>
    <x v="4"/>
  </r>
  <r>
    <x v="0"/>
    <x v="62"/>
    <x v="62"/>
    <x v="49"/>
    <x v="49"/>
    <x v="49"/>
    <x v="11"/>
    <x v="231"/>
    <x v="132"/>
    <x v="61"/>
    <x v="204"/>
    <x v="118"/>
    <x v="383"/>
    <x v="4"/>
  </r>
  <r>
    <x v="0"/>
    <x v="62"/>
    <x v="62"/>
    <x v="53"/>
    <x v="53"/>
    <x v="53"/>
    <x v="13"/>
    <x v="236"/>
    <x v="188"/>
    <x v="116"/>
    <x v="292"/>
    <x v="51"/>
    <x v="151"/>
    <x v="4"/>
  </r>
  <r>
    <x v="0"/>
    <x v="62"/>
    <x v="62"/>
    <x v="33"/>
    <x v="33"/>
    <x v="33"/>
    <x v="13"/>
    <x v="236"/>
    <x v="188"/>
    <x v="61"/>
    <x v="204"/>
    <x v="78"/>
    <x v="201"/>
    <x v="4"/>
  </r>
  <r>
    <x v="0"/>
    <x v="62"/>
    <x v="62"/>
    <x v="36"/>
    <x v="36"/>
    <x v="36"/>
    <x v="13"/>
    <x v="236"/>
    <x v="188"/>
    <x v="116"/>
    <x v="292"/>
    <x v="51"/>
    <x v="151"/>
    <x v="4"/>
  </r>
  <r>
    <x v="0"/>
    <x v="62"/>
    <x v="62"/>
    <x v="58"/>
    <x v="58"/>
    <x v="58"/>
    <x v="16"/>
    <x v="233"/>
    <x v="47"/>
    <x v="48"/>
    <x v="558"/>
    <x v="154"/>
    <x v="267"/>
    <x v="4"/>
  </r>
  <r>
    <x v="0"/>
    <x v="62"/>
    <x v="62"/>
    <x v="46"/>
    <x v="46"/>
    <x v="46"/>
    <x v="16"/>
    <x v="233"/>
    <x v="47"/>
    <x v="58"/>
    <x v="559"/>
    <x v="81"/>
    <x v="147"/>
    <x v="4"/>
  </r>
  <r>
    <x v="0"/>
    <x v="62"/>
    <x v="62"/>
    <x v="47"/>
    <x v="47"/>
    <x v="47"/>
    <x v="18"/>
    <x v="234"/>
    <x v="13"/>
    <x v="61"/>
    <x v="204"/>
    <x v="54"/>
    <x v="264"/>
    <x v="4"/>
  </r>
  <r>
    <x v="0"/>
    <x v="62"/>
    <x v="62"/>
    <x v="23"/>
    <x v="23"/>
    <x v="23"/>
    <x v="18"/>
    <x v="234"/>
    <x v="13"/>
    <x v="49"/>
    <x v="14"/>
    <x v="51"/>
    <x v="151"/>
    <x v="4"/>
  </r>
  <r>
    <x v="0"/>
    <x v="62"/>
    <x v="62"/>
    <x v="20"/>
    <x v="20"/>
    <x v="20"/>
    <x v="18"/>
    <x v="234"/>
    <x v="13"/>
    <x v="81"/>
    <x v="540"/>
    <x v="154"/>
    <x v="267"/>
    <x v="4"/>
  </r>
  <r>
    <x v="0"/>
    <x v="62"/>
    <x v="62"/>
    <x v="26"/>
    <x v="26"/>
    <x v="26"/>
    <x v="18"/>
    <x v="234"/>
    <x v="13"/>
    <x v="58"/>
    <x v="559"/>
    <x v="121"/>
    <x v="146"/>
    <x v="4"/>
  </r>
  <r>
    <x v="0"/>
    <x v="62"/>
    <x v="62"/>
    <x v="74"/>
    <x v="74"/>
    <x v="74"/>
    <x v="18"/>
    <x v="234"/>
    <x v="13"/>
    <x v="66"/>
    <x v="72"/>
    <x v="78"/>
    <x v="201"/>
    <x v="4"/>
  </r>
  <r>
    <x v="0"/>
    <x v="63"/>
    <x v="63"/>
    <x v="0"/>
    <x v="0"/>
    <x v="0"/>
    <x v="0"/>
    <x v="131"/>
    <x v="327"/>
    <x v="143"/>
    <x v="560"/>
    <x v="84"/>
    <x v="384"/>
    <x v="4"/>
  </r>
  <r>
    <x v="0"/>
    <x v="63"/>
    <x v="63"/>
    <x v="1"/>
    <x v="1"/>
    <x v="1"/>
    <x v="1"/>
    <x v="140"/>
    <x v="263"/>
    <x v="176"/>
    <x v="561"/>
    <x v="74"/>
    <x v="152"/>
    <x v="4"/>
  </r>
  <r>
    <x v="0"/>
    <x v="63"/>
    <x v="63"/>
    <x v="5"/>
    <x v="5"/>
    <x v="5"/>
    <x v="2"/>
    <x v="224"/>
    <x v="259"/>
    <x v="43"/>
    <x v="152"/>
    <x v="54"/>
    <x v="299"/>
    <x v="4"/>
  </r>
  <r>
    <x v="0"/>
    <x v="63"/>
    <x v="63"/>
    <x v="6"/>
    <x v="6"/>
    <x v="6"/>
    <x v="3"/>
    <x v="142"/>
    <x v="328"/>
    <x v="176"/>
    <x v="561"/>
    <x v="154"/>
    <x v="267"/>
    <x v="4"/>
  </r>
  <r>
    <x v="0"/>
    <x v="63"/>
    <x v="63"/>
    <x v="14"/>
    <x v="14"/>
    <x v="14"/>
    <x v="4"/>
    <x v="220"/>
    <x v="20"/>
    <x v="53"/>
    <x v="147"/>
    <x v="45"/>
    <x v="259"/>
    <x v="4"/>
  </r>
  <r>
    <x v="0"/>
    <x v="63"/>
    <x v="63"/>
    <x v="9"/>
    <x v="9"/>
    <x v="9"/>
    <x v="5"/>
    <x v="211"/>
    <x v="329"/>
    <x v="66"/>
    <x v="72"/>
    <x v="47"/>
    <x v="385"/>
    <x v="4"/>
  </r>
  <r>
    <x v="0"/>
    <x v="63"/>
    <x v="63"/>
    <x v="11"/>
    <x v="11"/>
    <x v="11"/>
    <x v="6"/>
    <x v="221"/>
    <x v="155"/>
    <x v="81"/>
    <x v="230"/>
    <x v="64"/>
    <x v="340"/>
    <x v="4"/>
  </r>
  <r>
    <x v="0"/>
    <x v="63"/>
    <x v="63"/>
    <x v="3"/>
    <x v="3"/>
    <x v="3"/>
    <x v="6"/>
    <x v="221"/>
    <x v="155"/>
    <x v="68"/>
    <x v="165"/>
    <x v="154"/>
    <x v="267"/>
    <x v="4"/>
  </r>
  <r>
    <x v="0"/>
    <x v="63"/>
    <x v="63"/>
    <x v="2"/>
    <x v="2"/>
    <x v="2"/>
    <x v="6"/>
    <x v="221"/>
    <x v="155"/>
    <x v="101"/>
    <x v="562"/>
    <x v="54"/>
    <x v="299"/>
    <x v="4"/>
  </r>
  <r>
    <x v="0"/>
    <x v="63"/>
    <x v="63"/>
    <x v="4"/>
    <x v="4"/>
    <x v="4"/>
    <x v="9"/>
    <x v="222"/>
    <x v="172"/>
    <x v="95"/>
    <x v="172"/>
    <x v="122"/>
    <x v="224"/>
    <x v="4"/>
  </r>
  <r>
    <x v="0"/>
    <x v="63"/>
    <x v="63"/>
    <x v="50"/>
    <x v="50"/>
    <x v="50"/>
    <x v="10"/>
    <x v="225"/>
    <x v="45"/>
    <x v="116"/>
    <x v="197"/>
    <x v="90"/>
    <x v="386"/>
    <x v="4"/>
  </r>
  <r>
    <x v="0"/>
    <x v="63"/>
    <x v="63"/>
    <x v="8"/>
    <x v="8"/>
    <x v="8"/>
    <x v="11"/>
    <x v="226"/>
    <x v="181"/>
    <x v="95"/>
    <x v="172"/>
    <x v="51"/>
    <x v="184"/>
    <x v="4"/>
  </r>
  <r>
    <x v="0"/>
    <x v="63"/>
    <x v="63"/>
    <x v="10"/>
    <x v="10"/>
    <x v="10"/>
    <x v="12"/>
    <x v="229"/>
    <x v="72"/>
    <x v="81"/>
    <x v="230"/>
    <x v="78"/>
    <x v="109"/>
    <x v="4"/>
  </r>
  <r>
    <x v="0"/>
    <x v="63"/>
    <x v="63"/>
    <x v="39"/>
    <x v="39"/>
    <x v="39"/>
    <x v="13"/>
    <x v="230"/>
    <x v="225"/>
    <x v="116"/>
    <x v="197"/>
    <x v="122"/>
    <x v="224"/>
    <x v="4"/>
  </r>
  <r>
    <x v="0"/>
    <x v="63"/>
    <x v="63"/>
    <x v="15"/>
    <x v="15"/>
    <x v="15"/>
    <x v="13"/>
    <x v="230"/>
    <x v="225"/>
    <x v="53"/>
    <x v="147"/>
    <x v="118"/>
    <x v="32"/>
    <x v="4"/>
  </r>
  <r>
    <x v="0"/>
    <x v="63"/>
    <x v="63"/>
    <x v="45"/>
    <x v="45"/>
    <x v="45"/>
    <x v="15"/>
    <x v="232"/>
    <x v="63"/>
    <x v="49"/>
    <x v="119"/>
    <x v="63"/>
    <x v="151"/>
    <x v="4"/>
  </r>
  <r>
    <x v="0"/>
    <x v="63"/>
    <x v="63"/>
    <x v="19"/>
    <x v="19"/>
    <x v="19"/>
    <x v="15"/>
    <x v="232"/>
    <x v="63"/>
    <x v="48"/>
    <x v="283"/>
    <x v="74"/>
    <x v="152"/>
    <x v="4"/>
  </r>
  <r>
    <x v="0"/>
    <x v="63"/>
    <x v="63"/>
    <x v="47"/>
    <x v="47"/>
    <x v="47"/>
    <x v="17"/>
    <x v="231"/>
    <x v="150"/>
    <x v="116"/>
    <x v="197"/>
    <x v="78"/>
    <x v="109"/>
    <x v="4"/>
  </r>
  <r>
    <x v="0"/>
    <x v="63"/>
    <x v="63"/>
    <x v="48"/>
    <x v="48"/>
    <x v="48"/>
    <x v="17"/>
    <x v="231"/>
    <x v="150"/>
    <x v="49"/>
    <x v="119"/>
    <x v="122"/>
    <x v="224"/>
    <x v="4"/>
  </r>
  <r>
    <x v="0"/>
    <x v="63"/>
    <x v="63"/>
    <x v="92"/>
    <x v="92"/>
    <x v="92"/>
    <x v="17"/>
    <x v="231"/>
    <x v="150"/>
    <x v="53"/>
    <x v="147"/>
    <x v="51"/>
    <x v="184"/>
    <x v="4"/>
  </r>
  <r>
    <x v="0"/>
    <x v="63"/>
    <x v="63"/>
    <x v="7"/>
    <x v="7"/>
    <x v="7"/>
    <x v="17"/>
    <x v="231"/>
    <x v="150"/>
    <x v="88"/>
    <x v="217"/>
    <x v="121"/>
    <x v="288"/>
    <x v="4"/>
  </r>
  <r>
    <x v="0"/>
    <x v="64"/>
    <x v="64"/>
    <x v="93"/>
    <x v="93"/>
    <x v="93"/>
    <x v="0"/>
    <x v="66"/>
    <x v="330"/>
    <x v="47"/>
    <x v="563"/>
    <x v="124"/>
    <x v="387"/>
    <x v="4"/>
  </r>
  <r>
    <x v="0"/>
    <x v="64"/>
    <x v="64"/>
    <x v="94"/>
    <x v="94"/>
    <x v="94"/>
    <x v="1"/>
    <x v="208"/>
    <x v="228"/>
    <x v="143"/>
    <x v="564"/>
    <x v="70"/>
    <x v="388"/>
    <x v="4"/>
  </r>
  <r>
    <x v="0"/>
    <x v="64"/>
    <x v="64"/>
    <x v="95"/>
    <x v="95"/>
    <x v="95"/>
    <x v="2"/>
    <x v="141"/>
    <x v="331"/>
    <x v="43"/>
    <x v="62"/>
    <x v="74"/>
    <x v="389"/>
    <x v="4"/>
  </r>
  <r>
    <x v="0"/>
    <x v="64"/>
    <x v="64"/>
    <x v="33"/>
    <x v="33"/>
    <x v="33"/>
    <x v="3"/>
    <x v="142"/>
    <x v="332"/>
    <x v="89"/>
    <x v="0"/>
    <x v="54"/>
    <x v="185"/>
    <x v="4"/>
  </r>
  <r>
    <x v="0"/>
    <x v="64"/>
    <x v="64"/>
    <x v="3"/>
    <x v="3"/>
    <x v="3"/>
    <x v="4"/>
    <x v="210"/>
    <x v="293"/>
    <x v="128"/>
    <x v="565"/>
    <x v="121"/>
    <x v="162"/>
    <x v="4"/>
  </r>
  <r>
    <x v="0"/>
    <x v="64"/>
    <x v="64"/>
    <x v="4"/>
    <x v="4"/>
    <x v="4"/>
    <x v="5"/>
    <x v="211"/>
    <x v="333"/>
    <x v="68"/>
    <x v="93"/>
    <x v="121"/>
    <x v="162"/>
    <x v="4"/>
  </r>
  <r>
    <x v="0"/>
    <x v="64"/>
    <x v="64"/>
    <x v="6"/>
    <x v="6"/>
    <x v="6"/>
    <x v="6"/>
    <x v="221"/>
    <x v="138"/>
    <x v="68"/>
    <x v="93"/>
    <x v="154"/>
    <x v="267"/>
    <x v="4"/>
  </r>
  <r>
    <x v="0"/>
    <x v="64"/>
    <x v="64"/>
    <x v="10"/>
    <x v="10"/>
    <x v="10"/>
    <x v="7"/>
    <x v="225"/>
    <x v="5"/>
    <x v="101"/>
    <x v="566"/>
    <x v="81"/>
    <x v="113"/>
    <x v="4"/>
  </r>
  <r>
    <x v="0"/>
    <x v="64"/>
    <x v="64"/>
    <x v="42"/>
    <x v="42"/>
    <x v="42"/>
    <x v="8"/>
    <x v="227"/>
    <x v="43"/>
    <x v="88"/>
    <x v="567"/>
    <x v="118"/>
    <x v="390"/>
    <x v="4"/>
  </r>
  <r>
    <x v="0"/>
    <x v="64"/>
    <x v="64"/>
    <x v="1"/>
    <x v="1"/>
    <x v="1"/>
    <x v="8"/>
    <x v="227"/>
    <x v="43"/>
    <x v="118"/>
    <x v="291"/>
    <x v="154"/>
    <x v="267"/>
    <x v="4"/>
  </r>
  <r>
    <x v="0"/>
    <x v="64"/>
    <x v="64"/>
    <x v="58"/>
    <x v="58"/>
    <x v="58"/>
    <x v="10"/>
    <x v="226"/>
    <x v="199"/>
    <x v="76"/>
    <x v="260"/>
    <x v="54"/>
    <x v="185"/>
    <x v="4"/>
  </r>
  <r>
    <x v="0"/>
    <x v="64"/>
    <x v="64"/>
    <x v="8"/>
    <x v="8"/>
    <x v="8"/>
    <x v="10"/>
    <x v="226"/>
    <x v="199"/>
    <x v="56"/>
    <x v="480"/>
    <x v="81"/>
    <x v="113"/>
    <x v="4"/>
  </r>
  <r>
    <x v="0"/>
    <x v="64"/>
    <x v="64"/>
    <x v="11"/>
    <x v="11"/>
    <x v="11"/>
    <x v="12"/>
    <x v="228"/>
    <x v="211"/>
    <x v="95"/>
    <x v="377"/>
    <x v="54"/>
    <x v="185"/>
    <x v="4"/>
  </r>
  <r>
    <x v="0"/>
    <x v="64"/>
    <x v="64"/>
    <x v="96"/>
    <x v="96"/>
    <x v="96"/>
    <x v="13"/>
    <x v="230"/>
    <x v="60"/>
    <x v="81"/>
    <x v="319"/>
    <x v="51"/>
    <x v="245"/>
    <x v="4"/>
  </r>
  <r>
    <x v="0"/>
    <x v="64"/>
    <x v="64"/>
    <x v="36"/>
    <x v="36"/>
    <x v="36"/>
    <x v="13"/>
    <x v="230"/>
    <x v="60"/>
    <x v="76"/>
    <x v="260"/>
    <x v="121"/>
    <x v="162"/>
    <x v="4"/>
  </r>
  <r>
    <x v="0"/>
    <x v="64"/>
    <x v="64"/>
    <x v="53"/>
    <x v="53"/>
    <x v="53"/>
    <x v="15"/>
    <x v="231"/>
    <x v="74"/>
    <x v="48"/>
    <x v="463"/>
    <x v="81"/>
    <x v="113"/>
    <x v="4"/>
  </r>
  <r>
    <x v="0"/>
    <x v="64"/>
    <x v="64"/>
    <x v="46"/>
    <x v="46"/>
    <x v="46"/>
    <x v="15"/>
    <x v="231"/>
    <x v="74"/>
    <x v="88"/>
    <x v="567"/>
    <x v="121"/>
    <x v="162"/>
    <x v="4"/>
  </r>
  <r>
    <x v="0"/>
    <x v="64"/>
    <x v="64"/>
    <x v="15"/>
    <x v="15"/>
    <x v="15"/>
    <x v="15"/>
    <x v="231"/>
    <x v="74"/>
    <x v="81"/>
    <x v="319"/>
    <x v="74"/>
    <x v="389"/>
    <x v="4"/>
  </r>
  <r>
    <x v="0"/>
    <x v="64"/>
    <x v="64"/>
    <x v="7"/>
    <x v="7"/>
    <x v="7"/>
    <x v="15"/>
    <x v="231"/>
    <x v="74"/>
    <x v="48"/>
    <x v="463"/>
    <x v="81"/>
    <x v="113"/>
    <x v="4"/>
  </r>
  <r>
    <x v="0"/>
    <x v="64"/>
    <x v="64"/>
    <x v="97"/>
    <x v="97"/>
    <x v="97"/>
    <x v="19"/>
    <x v="236"/>
    <x v="124"/>
    <x v="116"/>
    <x v="13"/>
    <x v="51"/>
    <x v="245"/>
    <x v="4"/>
  </r>
  <r>
    <x v="0"/>
    <x v="64"/>
    <x v="64"/>
    <x v="98"/>
    <x v="98"/>
    <x v="98"/>
    <x v="19"/>
    <x v="236"/>
    <x v="124"/>
    <x v="48"/>
    <x v="463"/>
    <x v="121"/>
    <x v="162"/>
    <x v="4"/>
  </r>
  <r>
    <x v="0"/>
    <x v="64"/>
    <x v="64"/>
    <x v="66"/>
    <x v="66"/>
    <x v="66"/>
    <x v="19"/>
    <x v="236"/>
    <x v="124"/>
    <x v="88"/>
    <x v="567"/>
    <x v="154"/>
    <x v="267"/>
    <x v="4"/>
  </r>
  <r>
    <x v="0"/>
    <x v="64"/>
    <x v="64"/>
    <x v="5"/>
    <x v="5"/>
    <x v="5"/>
    <x v="19"/>
    <x v="236"/>
    <x v="124"/>
    <x v="88"/>
    <x v="567"/>
    <x v="154"/>
    <x v="267"/>
    <x v="4"/>
  </r>
  <r>
    <x v="0"/>
    <x v="65"/>
    <x v="65"/>
    <x v="0"/>
    <x v="0"/>
    <x v="0"/>
    <x v="0"/>
    <x v="51"/>
    <x v="334"/>
    <x v="80"/>
    <x v="568"/>
    <x v="51"/>
    <x v="356"/>
    <x v="1"/>
  </r>
  <r>
    <x v="0"/>
    <x v="65"/>
    <x v="65"/>
    <x v="53"/>
    <x v="53"/>
    <x v="53"/>
    <x v="1"/>
    <x v="142"/>
    <x v="335"/>
    <x v="118"/>
    <x v="141"/>
    <x v="122"/>
    <x v="391"/>
    <x v="4"/>
  </r>
  <r>
    <x v="0"/>
    <x v="65"/>
    <x v="65"/>
    <x v="1"/>
    <x v="1"/>
    <x v="1"/>
    <x v="2"/>
    <x v="220"/>
    <x v="336"/>
    <x v="89"/>
    <x v="153"/>
    <x v="121"/>
    <x v="5"/>
    <x v="4"/>
  </r>
  <r>
    <x v="0"/>
    <x v="65"/>
    <x v="65"/>
    <x v="2"/>
    <x v="2"/>
    <x v="2"/>
    <x v="2"/>
    <x v="220"/>
    <x v="336"/>
    <x v="143"/>
    <x v="349"/>
    <x v="54"/>
    <x v="151"/>
    <x v="4"/>
  </r>
  <r>
    <x v="0"/>
    <x v="65"/>
    <x v="65"/>
    <x v="8"/>
    <x v="8"/>
    <x v="8"/>
    <x v="4"/>
    <x v="222"/>
    <x v="89"/>
    <x v="74"/>
    <x v="569"/>
    <x v="78"/>
    <x v="44"/>
    <x v="4"/>
  </r>
  <r>
    <x v="0"/>
    <x v="65"/>
    <x v="65"/>
    <x v="11"/>
    <x v="11"/>
    <x v="11"/>
    <x v="5"/>
    <x v="225"/>
    <x v="320"/>
    <x v="76"/>
    <x v="279"/>
    <x v="78"/>
    <x v="44"/>
    <x v="4"/>
  </r>
  <r>
    <x v="0"/>
    <x v="65"/>
    <x v="65"/>
    <x v="6"/>
    <x v="6"/>
    <x v="6"/>
    <x v="5"/>
    <x v="225"/>
    <x v="320"/>
    <x v="143"/>
    <x v="349"/>
    <x v="154"/>
    <x v="267"/>
    <x v="4"/>
  </r>
  <r>
    <x v="0"/>
    <x v="65"/>
    <x v="65"/>
    <x v="5"/>
    <x v="5"/>
    <x v="5"/>
    <x v="7"/>
    <x v="227"/>
    <x v="20"/>
    <x v="118"/>
    <x v="141"/>
    <x v="154"/>
    <x v="267"/>
    <x v="4"/>
  </r>
  <r>
    <x v="0"/>
    <x v="65"/>
    <x v="65"/>
    <x v="3"/>
    <x v="3"/>
    <x v="3"/>
    <x v="8"/>
    <x v="229"/>
    <x v="45"/>
    <x v="74"/>
    <x v="569"/>
    <x v="121"/>
    <x v="5"/>
    <x v="4"/>
  </r>
  <r>
    <x v="0"/>
    <x v="65"/>
    <x v="65"/>
    <x v="17"/>
    <x v="17"/>
    <x v="17"/>
    <x v="9"/>
    <x v="230"/>
    <x v="82"/>
    <x v="58"/>
    <x v="402"/>
    <x v="78"/>
    <x v="44"/>
    <x v="4"/>
  </r>
  <r>
    <x v="0"/>
    <x v="65"/>
    <x v="65"/>
    <x v="10"/>
    <x v="10"/>
    <x v="10"/>
    <x v="10"/>
    <x v="232"/>
    <x v="161"/>
    <x v="58"/>
    <x v="402"/>
    <x v="51"/>
    <x v="356"/>
    <x v="4"/>
  </r>
  <r>
    <x v="0"/>
    <x v="65"/>
    <x v="65"/>
    <x v="4"/>
    <x v="4"/>
    <x v="4"/>
    <x v="10"/>
    <x v="232"/>
    <x v="161"/>
    <x v="95"/>
    <x v="115"/>
    <x v="121"/>
    <x v="5"/>
    <x v="4"/>
  </r>
  <r>
    <x v="0"/>
    <x v="65"/>
    <x v="65"/>
    <x v="16"/>
    <x v="16"/>
    <x v="16"/>
    <x v="10"/>
    <x v="232"/>
    <x v="161"/>
    <x v="76"/>
    <x v="279"/>
    <x v="154"/>
    <x v="267"/>
    <x v="4"/>
  </r>
  <r>
    <x v="0"/>
    <x v="65"/>
    <x v="65"/>
    <x v="19"/>
    <x v="19"/>
    <x v="19"/>
    <x v="10"/>
    <x v="232"/>
    <x v="161"/>
    <x v="48"/>
    <x v="301"/>
    <x v="74"/>
    <x v="78"/>
    <x v="4"/>
  </r>
  <r>
    <x v="0"/>
    <x v="65"/>
    <x v="65"/>
    <x v="65"/>
    <x v="65"/>
    <x v="65"/>
    <x v="14"/>
    <x v="231"/>
    <x v="72"/>
    <x v="88"/>
    <x v="352"/>
    <x v="121"/>
    <x v="5"/>
    <x v="4"/>
  </r>
  <r>
    <x v="0"/>
    <x v="65"/>
    <x v="65"/>
    <x v="58"/>
    <x v="58"/>
    <x v="58"/>
    <x v="14"/>
    <x v="231"/>
    <x v="72"/>
    <x v="95"/>
    <x v="115"/>
    <x v="154"/>
    <x v="267"/>
    <x v="4"/>
  </r>
  <r>
    <x v="0"/>
    <x v="65"/>
    <x v="65"/>
    <x v="12"/>
    <x v="12"/>
    <x v="12"/>
    <x v="16"/>
    <x v="236"/>
    <x v="86"/>
    <x v="61"/>
    <x v="161"/>
    <x v="78"/>
    <x v="44"/>
    <x v="4"/>
  </r>
  <r>
    <x v="0"/>
    <x v="65"/>
    <x v="65"/>
    <x v="18"/>
    <x v="18"/>
    <x v="18"/>
    <x v="16"/>
    <x v="236"/>
    <x v="86"/>
    <x v="58"/>
    <x v="402"/>
    <x v="74"/>
    <x v="78"/>
    <x v="4"/>
  </r>
  <r>
    <x v="0"/>
    <x v="65"/>
    <x v="65"/>
    <x v="93"/>
    <x v="93"/>
    <x v="93"/>
    <x v="16"/>
    <x v="236"/>
    <x v="86"/>
    <x v="53"/>
    <x v="159"/>
    <x v="54"/>
    <x v="151"/>
    <x v="4"/>
  </r>
  <r>
    <x v="0"/>
    <x v="65"/>
    <x v="65"/>
    <x v="13"/>
    <x v="13"/>
    <x v="13"/>
    <x v="19"/>
    <x v="233"/>
    <x v="182"/>
    <x v="61"/>
    <x v="161"/>
    <x v="51"/>
    <x v="356"/>
    <x v="4"/>
  </r>
  <r>
    <x v="0"/>
    <x v="65"/>
    <x v="65"/>
    <x v="44"/>
    <x v="44"/>
    <x v="44"/>
    <x v="19"/>
    <x v="233"/>
    <x v="182"/>
    <x v="61"/>
    <x v="161"/>
    <x v="51"/>
    <x v="356"/>
    <x v="4"/>
  </r>
  <r>
    <x v="0"/>
    <x v="65"/>
    <x v="65"/>
    <x v="36"/>
    <x v="36"/>
    <x v="36"/>
    <x v="19"/>
    <x v="233"/>
    <x v="182"/>
    <x v="58"/>
    <x v="402"/>
    <x v="81"/>
    <x v="96"/>
    <x v="4"/>
  </r>
  <r>
    <x v="0"/>
    <x v="66"/>
    <x v="66"/>
    <x v="1"/>
    <x v="1"/>
    <x v="1"/>
    <x v="0"/>
    <x v="200"/>
    <x v="337"/>
    <x v="54"/>
    <x v="570"/>
    <x v="78"/>
    <x v="392"/>
    <x v="4"/>
  </r>
  <r>
    <x v="0"/>
    <x v="66"/>
    <x v="66"/>
    <x v="7"/>
    <x v="7"/>
    <x v="7"/>
    <x v="1"/>
    <x v="141"/>
    <x v="227"/>
    <x v="176"/>
    <x v="571"/>
    <x v="121"/>
    <x v="180"/>
    <x v="4"/>
  </r>
  <r>
    <x v="0"/>
    <x v="66"/>
    <x v="66"/>
    <x v="2"/>
    <x v="2"/>
    <x v="2"/>
    <x v="1"/>
    <x v="141"/>
    <x v="227"/>
    <x v="128"/>
    <x v="572"/>
    <x v="54"/>
    <x v="195"/>
    <x v="4"/>
  </r>
  <r>
    <x v="0"/>
    <x v="66"/>
    <x v="66"/>
    <x v="0"/>
    <x v="0"/>
    <x v="0"/>
    <x v="3"/>
    <x v="209"/>
    <x v="208"/>
    <x v="76"/>
    <x v="555"/>
    <x v="64"/>
    <x v="393"/>
    <x v="4"/>
  </r>
  <r>
    <x v="0"/>
    <x v="66"/>
    <x v="66"/>
    <x v="3"/>
    <x v="3"/>
    <x v="3"/>
    <x v="4"/>
    <x v="210"/>
    <x v="214"/>
    <x v="128"/>
    <x v="572"/>
    <x v="121"/>
    <x v="180"/>
    <x v="4"/>
  </r>
  <r>
    <x v="0"/>
    <x v="66"/>
    <x v="66"/>
    <x v="6"/>
    <x v="6"/>
    <x v="6"/>
    <x v="5"/>
    <x v="220"/>
    <x v="39"/>
    <x v="89"/>
    <x v="573"/>
    <x v="121"/>
    <x v="180"/>
    <x v="4"/>
  </r>
  <r>
    <x v="0"/>
    <x v="66"/>
    <x v="66"/>
    <x v="5"/>
    <x v="5"/>
    <x v="5"/>
    <x v="5"/>
    <x v="220"/>
    <x v="39"/>
    <x v="89"/>
    <x v="573"/>
    <x v="121"/>
    <x v="180"/>
    <x v="4"/>
  </r>
  <r>
    <x v="0"/>
    <x v="66"/>
    <x v="66"/>
    <x v="8"/>
    <x v="8"/>
    <x v="8"/>
    <x v="7"/>
    <x v="211"/>
    <x v="170"/>
    <x v="101"/>
    <x v="73"/>
    <x v="51"/>
    <x v="193"/>
    <x v="4"/>
  </r>
  <r>
    <x v="0"/>
    <x v="66"/>
    <x v="66"/>
    <x v="14"/>
    <x v="14"/>
    <x v="14"/>
    <x v="8"/>
    <x v="222"/>
    <x v="54"/>
    <x v="53"/>
    <x v="118"/>
    <x v="90"/>
    <x v="394"/>
    <x v="4"/>
  </r>
  <r>
    <x v="0"/>
    <x v="66"/>
    <x v="66"/>
    <x v="12"/>
    <x v="12"/>
    <x v="12"/>
    <x v="9"/>
    <x v="225"/>
    <x v="107"/>
    <x v="49"/>
    <x v="92"/>
    <x v="70"/>
    <x v="395"/>
    <x v="4"/>
  </r>
  <r>
    <x v="0"/>
    <x v="66"/>
    <x v="66"/>
    <x v="53"/>
    <x v="53"/>
    <x v="53"/>
    <x v="9"/>
    <x v="225"/>
    <x v="107"/>
    <x v="95"/>
    <x v="326"/>
    <x v="118"/>
    <x v="269"/>
    <x v="4"/>
  </r>
  <r>
    <x v="0"/>
    <x v="66"/>
    <x v="66"/>
    <x v="4"/>
    <x v="4"/>
    <x v="4"/>
    <x v="9"/>
    <x v="225"/>
    <x v="107"/>
    <x v="101"/>
    <x v="73"/>
    <x v="81"/>
    <x v="364"/>
    <x v="4"/>
  </r>
  <r>
    <x v="0"/>
    <x v="66"/>
    <x v="66"/>
    <x v="10"/>
    <x v="10"/>
    <x v="10"/>
    <x v="12"/>
    <x v="227"/>
    <x v="140"/>
    <x v="95"/>
    <x v="326"/>
    <x v="78"/>
    <x v="392"/>
    <x v="4"/>
  </r>
  <r>
    <x v="0"/>
    <x v="66"/>
    <x v="66"/>
    <x v="46"/>
    <x v="46"/>
    <x v="46"/>
    <x v="13"/>
    <x v="228"/>
    <x v="132"/>
    <x v="88"/>
    <x v="363"/>
    <x v="51"/>
    <x v="193"/>
    <x v="4"/>
  </r>
  <r>
    <x v="0"/>
    <x v="66"/>
    <x v="66"/>
    <x v="19"/>
    <x v="19"/>
    <x v="19"/>
    <x v="13"/>
    <x v="228"/>
    <x v="132"/>
    <x v="76"/>
    <x v="555"/>
    <x v="74"/>
    <x v="281"/>
    <x v="4"/>
  </r>
  <r>
    <x v="0"/>
    <x v="66"/>
    <x v="66"/>
    <x v="36"/>
    <x v="36"/>
    <x v="36"/>
    <x v="13"/>
    <x v="228"/>
    <x v="132"/>
    <x v="74"/>
    <x v="467"/>
    <x v="81"/>
    <x v="364"/>
    <x v="4"/>
  </r>
  <r>
    <x v="0"/>
    <x v="66"/>
    <x v="66"/>
    <x v="13"/>
    <x v="13"/>
    <x v="13"/>
    <x v="16"/>
    <x v="229"/>
    <x v="175"/>
    <x v="53"/>
    <x v="118"/>
    <x v="122"/>
    <x v="396"/>
    <x v="4"/>
  </r>
  <r>
    <x v="0"/>
    <x v="66"/>
    <x v="66"/>
    <x v="44"/>
    <x v="44"/>
    <x v="44"/>
    <x v="17"/>
    <x v="230"/>
    <x v="26"/>
    <x v="61"/>
    <x v="574"/>
    <x v="63"/>
    <x v="397"/>
    <x v="4"/>
  </r>
  <r>
    <x v="0"/>
    <x v="66"/>
    <x v="66"/>
    <x v="16"/>
    <x v="16"/>
    <x v="16"/>
    <x v="17"/>
    <x v="230"/>
    <x v="26"/>
    <x v="48"/>
    <x v="575"/>
    <x v="54"/>
    <x v="195"/>
    <x v="4"/>
  </r>
  <r>
    <x v="0"/>
    <x v="66"/>
    <x v="66"/>
    <x v="18"/>
    <x v="18"/>
    <x v="18"/>
    <x v="19"/>
    <x v="236"/>
    <x v="125"/>
    <x v="53"/>
    <x v="118"/>
    <x v="54"/>
    <x v="195"/>
    <x v="4"/>
  </r>
  <r>
    <x v="0"/>
    <x v="66"/>
    <x v="66"/>
    <x v="21"/>
    <x v="21"/>
    <x v="21"/>
    <x v="19"/>
    <x v="236"/>
    <x v="125"/>
    <x v="66"/>
    <x v="72"/>
    <x v="122"/>
    <x v="396"/>
    <x v="4"/>
  </r>
  <r>
    <x v="0"/>
    <x v="66"/>
    <x v="66"/>
    <x v="17"/>
    <x v="17"/>
    <x v="17"/>
    <x v="19"/>
    <x v="236"/>
    <x v="125"/>
    <x v="81"/>
    <x v="298"/>
    <x v="81"/>
    <x v="364"/>
    <x v="4"/>
  </r>
  <r>
    <x v="0"/>
    <x v="67"/>
    <x v="67"/>
    <x v="1"/>
    <x v="1"/>
    <x v="1"/>
    <x v="0"/>
    <x v="136"/>
    <x v="243"/>
    <x v="51"/>
    <x v="576"/>
    <x v="74"/>
    <x v="16"/>
    <x v="4"/>
  </r>
  <r>
    <x v="0"/>
    <x v="67"/>
    <x v="67"/>
    <x v="2"/>
    <x v="2"/>
    <x v="2"/>
    <x v="1"/>
    <x v="140"/>
    <x v="65"/>
    <x v="43"/>
    <x v="97"/>
    <x v="54"/>
    <x v="290"/>
    <x v="1"/>
  </r>
  <r>
    <x v="0"/>
    <x v="67"/>
    <x v="67"/>
    <x v="0"/>
    <x v="0"/>
    <x v="0"/>
    <x v="2"/>
    <x v="141"/>
    <x v="38"/>
    <x v="118"/>
    <x v="324"/>
    <x v="63"/>
    <x v="398"/>
    <x v="4"/>
  </r>
  <r>
    <x v="0"/>
    <x v="67"/>
    <x v="67"/>
    <x v="6"/>
    <x v="6"/>
    <x v="6"/>
    <x v="2"/>
    <x v="141"/>
    <x v="38"/>
    <x v="176"/>
    <x v="152"/>
    <x v="121"/>
    <x v="323"/>
    <x v="4"/>
  </r>
  <r>
    <x v="0"/>
    <x v="67"/>
    <x v="67"/>
    <x v="8"/>
    <x v="8"/>
    <x v="8"/>
    <x v="4"/>
    <x v="209"/>
    <x v="293"/>
    <x v="100"/>
    <x v="577"/>
    <x v="51"/>
    <x v="230"/>
    <x v="4"/>
  </r>
  <r>
    <x v="0"/>
    <x v="67"/>
    <x v="67"/>
    <x v="3"/>
    <x v="3"/>
    <x v="3"/>
    <x v="5"/>
    <x v="211"/>
    <x v="146"/>
    <x v="89"/>
    <x v="578"/>
    <x v="154"/>
    <x v="267"/>
    <x v="4"/>
  </r>
  <r>
    <x v="0"/>
    <x v="67"/>
    <x v="67"/>
    <x v="4"/>
    <x v="4"/>
    <x v="4"/>
    <x v="6"/>
    <x v="226"/>
    <x v="186"/>
    <x v="74"/>
    <x v="404"/>
    <x v="74"/>
    <x v="16"/>
    <x v="4"/>
  </r>
  <r>
    <x v="0"/>
    <x v="67"/>
    <x v="67"/>
    <x v="12"/>
    <x v="12"/>
    <x v="12"/>
    <x v="7"/>
    <x v="228"/>
    <x v="58"/>
    <x v="116"/>
    <x v="465"/>
    <x v="124"/>
    <x v="99"/>
    <x v="4"/>
  </r>
  <r>
    <x v="0"/>
    <x v="67"/>
    <x v="67"/>
    <x v="11"/>
    <x v="11"/>
    <x v="11"/>
    <x v="7"/>
    <x v="228"/>
    <x v="58"/>
    <x v="58"/>
    <x v="231"/>
    <x v="122"/>
    <x v="117"/>
    <x v="4"/>
  </r>
  <r>
    <x v="0"/>
    <x v="67"/>
    <x v="67"/>
    <x v="13"/>
    <x v="13"/>
    <x v="13"/>
    <x v="7"/>
    <x v="228"/>
    <x v="58"/>
    <x v="116"/>
    <x v="465"/>
    <x v="124"/>
    <x v="99"/>
    <x v="4"/>
  </r>
  <r>
    <x v="0"/>
    <x v="67"/>
    <x v="67"/>
    <x v="5"/>
    <x v="5"/>
    <x v="5"/>
    <x v="7"/>
    <x v="228"/>
    <x v="58"/>
    <x v="74"/>
    <x v="404"/>
    <x v="81"/>
    <x v="364"/>
    <x v="4"/>
  </r>
  <r>
    <x v="0"/>
    <x v="67"/>
    <x v="67"/>
    <x v="14"/>
    <x v="14"/>
    <x v="14"/>
    <x v="11"/>
    <x v="229"/>
    <x v="281"/>
    <x v="53"/>
    <x v="57"/>
    <x v="122"/>
    <x v="117"/>
    <x v="4"/>
  </r>
  <r>
    <x v="0"/>
    <x v="67"/>
    <x v="67"/>
    <x v="10"/>
    <x v="10"/>
    <x v="10"/>
    <x v="11"/>
    <x v="229"/>
    <x v="281"/>
    <x v="88"/>
    <x v="579"/>
    <x v="54"/>
    <x v="290"/>
    <x v="4"/>
  </r>
  <r>
    <x v="0"/>
    <x v="67"/>
    <x v="67"/>
    <x v="49"/>
    <x v="49"/>
    <x v="49"/>
    <x v="13"/>
    <x v="230"/>
    <x v="72"/>
    <x v="49"/>
    <x v="171"/>
    <x v="124"/>
    <x v="99"/>
    <x v="4"/>
  </r>
  <r>
    <x v="0"/>
    <x v="67"/>
    <x v="67"/>
    <x v="99"/>
    <x v="99"/>
    <x v="99"/>
    <x v="13"/>
    <x v="230"/>
    <x v="72"/>
    <x v="58"/>
    <x v="231"/>
    <x v="78"/>
    <x v="79"/>
    <x v="4"/>
  </r>
  <r>
    <x v="0"/>
    <x v="67"/>
    <x v="67"/>
    <x v="7"/>
    <x v="7"/>
    <x v="7"/>
    <x v="15"/>
    <x v="232"/>
    <x v="27"/>
    <x v="88"/>
    <x v="579"/>
    <x v="81"/>
    <x v="364"/>
    <x v="4"/>
  </r>
  <r>
    <x v="0"/>
    <x v="67"/>
    <x v="67"/>
    <x v="33"/>
    <x v="33"/>
    <x v="33"/>
    <x v="16"/>
    <x v="231"/>
    <x v="100"/>
    <x v="88"/>
    <x v="579"/>
    <x v="121"/>
    <x v="323"/>
    <x v="4"/>
  </r>
  <r>
    <x v="0"/>
    <x v="67"/>
    <x v="67"/>
    <x v="16"/>
    <x v="16"/>
    <x v="16"/>
    <x v="16"/>
    <x v="231"/>
    <x v="100"/>
    <x v="53"/>
    <x v="57"/>
    <x v="51"/>
    <x v="230"/>
    <x v="4"/>
  </r>
  <r>
    <x v="0"/>
    <x v="67"/>
    <x v="67"/>
    <x v="36"/>
    <x v="36"/>
    <x v="36"/>
    <x v="16"/>
    <x v="231"/>
    <x v="100"/>
    <x v="48"/>
    <x v="460"/>
    <x v="81"/>
    <x v="364"/>
    <x v="4"/>
  </r>
  <r>
    <x v="0"/>
    <x v="67"/>
    <x v="67"/>
    <x v="53"/>
    <x v="53"/>
    <x v="53"/>
    <x v="19"/>
    <x v="236"/>
    <x v="34"/>
    <x v="61"/>
    <x v="327"/>
    <x v="78"/>
    <x v="79"/>
    <x v="4"/>
  </r>
  <r>
    <x v="0"/>
    <x v="67"/>
    <x v="67"/>
    <x v="47"/>
    <x v="47"/>
    <x v="47"/>
    <x v="19"/>
    <x v="236"/>
    <x v="34"/>
    <x v="49"/>
    <x v="171"/>
    <x v="118"/>
    <x v="209"/>
    <x v="4"/>
  </r>
  <r>
    <x v="0"/>
    <x v="67"/>
    <x v="67"/>
    <x v="45"/>
    <x v="45"/>
    <x v="45"/>
    <x v="19"/>
    <x v="236"/>
    <x v="34"/>
    <x v="116"/>
    <x v="465"/>
    <x v="51"/>
    <x v="230"/>
    <x v="4"/>
  </r>
  <r>
    <x v="0"/>
    <x v="67"/>
    <x v="67"/>
    <x v="66"/>
    <x v="66"/>
    <x v="66"/>
    <x v="19"/>
    <x v="236"/>
    <x v="34"/>
    <x v="61"/>
    <x v="327"/>
    <x v="78"/>
    <x v="79"/>
    <x v="4"/>
  </r>
  <r>
    <x v="0"/>
    <x v="67"/>
    <x v="67"/>
    <x v="19"/>
    <x v="19"/>
    <x v="19"/>
    <x v="19"/>
    <x v="236"/>
    <x v="34"/>
    <x v="81"/>
    <x v="491"/>
    <x v="81"/>
    <x v="364"/>
    <x v="4"/>
  </r>
  <r>
    <x v="0"/>
    <x v="68"/>
    <x v="68"/>
    <x v="14"/>
    <x v="14"/>
    <x v="14"/>
    <x v="0"/>
    <x v="233"/>
    <x v="262"/>
    <x v="61"/>
    <x v="580"/>
    <x v="51"/>
    <x v="399"/>
    <x v="4"/>
  </r>
  <r>
    <x v="0"/>
    <x v="68"/>
    <x v="68"/>
    <x v="6"/>
    <x v="6"/>
    <x v="6"/>
    <x v="0"/>
    <x v="233"/>
    <x v="262"/>
    <x v="48"/>
    <x v="581"/>
    <x v="154"/>
    <x v="267"/>
    <x v="4"/>
  </r>
  <r>
    <x v="0"/>
    <x v="68"/>
    <x v="68"/>
    <x v="1"/>
    <x v="1"/>
    <x v="1"/>
    <x v="0"/>
    <x v="233"/>
    <x v="262"/>
    <x v="48"/>
    <x v="581"/>
    <x v="154"/>
    <x v="267"/>
    <x v="4"/>
  </r>
  <r>
    <x v="0"/>
    <x v="68"/>
    <x v="68"/>
    <x v="11"/>
    <x v="11"/>
    <x v="11"/>
    <x v="3"/>
    <x v="234"/>
    <x v="338"/>
    <x v="116"/>
    <x v="582"/>
    <x v="74"/>
    <x v="400"/>
    <x v="4"/>
  </r>
  <r>
    <x v="0"/>
    <x v="68"/>
    <x v="68"/>
    <x v="66"/>
    <x v="66"/>
    <x v="66"/>
    <x v="4"/>
    <x v="235"/>
    <x v="328"/>
    <x v="116"/>
    <x v="582"/>
    <x v="81"/>
    <x v="401"/>
    <x v="4"/>
  </r>
  <r>
    <x v="0"/>
    <x v="68"/>
    <x v="68"/>
    <x v="100"/>
    <x v="100"/>
    <x v="100"/>
    <x v="4"/>
    <x v="235"/>
    <x v="328"/>
    <x v="58"/>
    <x v="297"/>
    <x v="154"/>
    <x v="267"/>
    <x v="4"/>
  </r>
  <r>
    <x v="0"/>
    <x v="68"/>
    <x v="68"/>
    <x v="93"/>
    <x v="93"/>
    <x v="93"/>
    <x v="4"/>
    <x v="235"/>
    <x v="328"/>
    <x v="53"/>
    <x v="583"/>
    <x v="121"/>
    <x v="333"/>
    <x v="4"/>
  </r>
  <r>
    <x v="0"/>
    <x v="68"/>
    <x v="68"/>
    <x v="39"/>
    <x v="39"/>
    <x v="39"/>
    <x v="7"/>
    <x v="237"/>
    <x v="92"/>
    <x v="116"/>
    <x v="582"/>
    <x v="121"/>
    <x v="333"/>
    <x v="4"/>
  </r>
  <r>
    <x v="0"/>
    <x v="68"/>
    <x v="68"/>
    <x v="4"/>
    <x v="4"/>
    <x v="4"/>
    <x v="7"/>
    <x v="237"/>
    <x v="92"/>
    <x v="53"/>
    <x v="583"/>
    <x v="154"/>
    <x v="267"/>
    <x v="4"/>
  </r>
  <r>
    <x v="0"/>
    <x v="68"/>
    <x v="68"/>
    <x v="16"/>
    <x v="16"/>
    <x v="16"/>
    <x v="7"/>
    <x v="237"/>
    <x v="92"/>
    <x v="116"/>
    <x v="582"/>
    <x v="121"/>
    <x v="333"/>
    <x v="4"/>
  </r>
  <r>
    <x v="0"/>
    <x v="68"/>
    <x v="68"/>
    <x v="101"/>
    <x v="101"/>
    <x v="101"/>
    <x v="7"/>
    <x v="237"/>
    <x v="92"/>
    <x v="53"/>
    <x v="583"/>
    <x v="154"/>
    <x v="267"/>
    <x v="4"/>
  </r>
  <r>
    <x v="0"/>
    <x v="68"/>
    <x v="68"/>
    <x v="5"/>
    <x v="5"/>
    <x v="5"/>
    <x v="7"/>
    <x v="237"/>
    <x v="92"/>
    <x v="53"/>
    <x v="583"/>
    <x v="154"/>
    <x v="267"/>
    <x v="4"/>
  </r>
  <r>
    <x v="0"/>
    <x v="68"/>
    <x v="68"/>
    <x v="49"/>
    <x v="49"/>
    <x v="49"/>
    <x v="12"/>
    <x v="238"/>
    <x v="280"/>
    <x v="66"/>
    <x v="72"/>
    <x v="74"/>
    <x v="400"/>
    <x v="4"/>
  </r>
  <r>
    <x v="0"/>
    <x v="68"/>
    <x v="68"/>
    <x v="8"/>
    <x v="8"/>
    <x v="8"/>
    <x v="12"/>
    <x v="238"/>
    <x v="280"/>
    <x v="61"/>
    <x v="580"/>
    <x v="121"/>
    <x v="333"/>
    <x v="4"/>
  </r>
  <r>
    <x v="0"/>
    <x v="68"/>
    <x v="68"/>
    <x v="46"/>
    <x v="46"/>
    <x v="46"/>
    <x v="12"/>
    <x v="238"/>
    <x v="280"/>
    <x v="116"/>
    <x v="582"/>
    <x v="154"/>
    <x v="267"/>
    <x v="4"/>
  </r>
  <r>
    <x v="0"/>
    <x v="68"/>
    <x v="68"/>
    <x v="15"/>
    <x v="15"/>
    <x v="15"/>
    <x v="12"/>
    <x v="238"/>
    <x v="280"/>
    <x v="61"/>
    <x v="580"/>
    <x v="121"/>
    <x v="333"/>
    <x v="4"/>
  </r>
  <r>
    <x v="0"/>
    <x v="68"/>
    <x v="68"/>
    <x v="102"/>
    <x v="102"/>
    <x v="102"/>
    <x v="12"/>
    <x v="238"/>
    <x v="280"/>
    <x v="66"/>
    <x v="72"/>
    <x v="81"/>
    <x v="401"/>
    <x v="4"/>
  </r>
  <r>
    <x v="0"/>
    <x v="68"/>
    <x v="68"/>
    <x v="12"/>
    <x v="12"/>
    <x v="12"/>
    <x v="17"/>
    <x v="239"/>
    <x v="162"/>
    <x v="49"/>
    <x v="354"/>
    <x v="121"/>
    <x v="333"/>
    <x v="4"/>
  </r>
  <r>
    <x v="0"/>
    <x v="68"/>
    <x v="68"/>
    <x v="51"/>
    <x v="51"/>
    <x v="51"/>
    <x v="17"/>
    <x v="239"/>
    <x v="162"/>
    <x v="49"/>
    <x v="354"/>
    <x v="121"/>
    <x v="333"/>
    <x v="4"/>
  </r>
  <r>
    <x v="0"/>
    <x v="68"/>
    <x v="68"/>
    <x v="65"/>
    <x v="65"/>
    <x v="65"/>
    <x v="17"/>
    <x v="239"/>
    <x v="162"/>
    <x v="61"/>
    <x v="580"/>
    <x v="154"/>
    <x v="267"/>
    <x v="4"/>
  </r>
  <r>
    <x v="0"/>
    <x v="68"/>
    <x v="68"/>
    <x v="91"/>
    <x v="91"/>
    <x v="91"/>
    <x v="17"/>
    <x v="239"/>
    <x v="162"/>
    <x v="61"/>
    <x v="580"/>
    <x v="154"/>
    <x v="267"/>
    <x v="4"/>
  </r>
  <r>
    <x v="0"/>
    <x v="68"/>
    <x v="68"/>
    <x v="13"/>
    <x v="13"/>
    <x v="13"/>
    <x v="17"/>
    <x v="239"/>
    <x v="162"/>
    <x v="49"/>
    <x v="354"/>
    <x v="121"/>
    <x v="333"/>
    <x v="4"/>
  </r>
  <r>
    <x v="0"/>
    <x v="68"/>
    <x v="68"/>
    <x v="103"/>
    <x v="103"/>
    <x v="103"/>
    <x v="17"/>
    <x v="239"/>
    <x v="162"/>
    <x v="61"/>
    <x v="580"/>
    <x v="154"/>
    <x v="267"/>
    <x v="4"/>
  </r>
  <r>
    <x v="0"/>
    <x v="68"/>
    <x v="68"/>
    <x v="104"/>
    <x v="104"/>
    <x v="104"/>
    <x v="17"/>
    <x v="239"/>
    <x v="162"/>
    <x v="66"/>
    <x v="72"/>
    <x v="81"/>
    <x v="401"/>
    <x v="4"/>
  </r>
  <r>
    <x v="0"/>
    <x v="68"/>
    <x v="68"/>
    <x v="105"/>
    <x v="105"/>
    <x v="105"/>
    <x v="17"/>
    <x v="239"/>
    <x v="162"/>
    <x v="61"/>
    <x v="580"/>
    <x v="154"/>
    <x v="267"/>
    <x v="4"/>
  </r>
  <r>
    <x v="0"/>
    <x v="68"/>
    <x v="68"/>
    <x v="106"/>
    <x v="106"/>
    <x v="106"/>
    <x v="17"/>
    <x v="239"/>
    <x v="162"/>
    <x v="49"/>
    <x v="354"/>
    <x v="121"/>
    <x v="333"/>
    <x v="4"/>
  </r>
  <r>
    <x v="0"/>
    <x v="68"/>
    <x v="68"/>
    <x v="73"/>
    <x v="73"/>
    <x v="73"/>
    <x v="17"/>
    <x v="239"/>
    <x v="162"/>
    <x v="49"/>
    <x v="354"/>
    <x v="121"/>
    <x v="333"/>
    <x v="4"/>
  </r>
  <r>
    <x v="0"/>
    <x v="68"/>
    <x v="68"/>
    <x v="107"/>
    <x v="107"/>
    <x v="107"/>
    <x v="17"/>
    <x v="239"/>
    <x v="162"/>
    <x v="61"/>
    <x v="580"/>
    <x v="154"/>
    <x v="267"/>
    <x v="4"/>
  </r>
  <r>
    <x v="0"/>
    <x v="68"/>
    <x v="68"/>
    <x v="108"/>
    <x v="108"/>
    <x v="108"/>
    <x v="17"/>
    <x v="239"/>
    <x v="162"/>
    <x v="61"/>
    <x v="580"/>
    <x v="154"/>
    <x v="267"/>
    <x v="4"/>
  </r>
  <r>
    <x v="0"/>
    <x v="68"/>
    <x v="68"/>
    <x v="109"/>
    <x v="109"/>
    <x v="109"/>
    <x v="17"/>
    <x v="239"/>
    <x v="162"/>
    <x v="61"/>
    <x v="580"/>
    <x v="154"/>
    <x v="267"/>
    <x v="4"/>
  </r>
  <r>
    <x v="0"/>
    <x v="68"/>
    <x v="68"/>
    <x v="33"/>
    <x v="33"/>
    <x v="33"/>
    <x v="17"/>
    <x v="239"/>
    <x v="162"/>
    <x v="49"/>
    <x v="354"/>
    <x v="121"/>
    <x v="333"/>
    <x v="4"/>
  </r>
  <r>
    <x v="0"/>
    <x v="68"/>
    <x v="68"/>
    <x v="110"/>
    <x v="110"/>
    <x v="110"/>
    <x v="17"/>
    <x v="239"/>
    <x v="162"/>
    <x v="49"/>
    <x v="354"/>
    <x v="121"/>
    <x v="333"/>
    <x v="4"/>
  </r>
  <r>
    <x v="0"/>
    <x v="68"/>
    <x v="68"/>
    <x v="10"/>
    <x v="10"/>
    <x v="10"/>
    <x v="17"/>
    <x v="239"/>
    <x v="162"/>
    <x v="61"/>
    <x v="580"/>
    <x v="154"/>
    <x v="267"/>
    <x v="4"/>
  </r>
  <r>
    <x v="0"/>
    <x v="68"/>
    <x v="68"/>
    <x v="70"/>
    <x v="70"/>
    <x v="70"/>
    <x v="17"/>
    <x v="239"/>
    <x v="162"/>
    <x v="61"/>
    <x v="580"/>
    <x v="154"/>
    <x v="267"/>
    <x v="4"/>
  </r>
  <r>
    <x v="0"/>
    <x v="68"/>
    <x v="68"/>
    <x v="111"/>
    <x v="111"/>
    <x v="111"/>
    <x v="17"/>
    <x v="239"/>
    <x v="162"/>
    <x v="49"/>
    <x v="354"/>
    <x v="121"/>
    <x v="333"/>
    <x v="4"/>
  </r>
  <r>
    <x v="0"/>
    <x v="68"/>
    <x v="68"/>
    <x v="3"/>
    <x v="3"/>
    <x v="3"/>
    <x v="17"/>
    <x v="239"/>
    <x v="162"/>
    <x v="49"/>
    <x v="354"/>
    <x v="121"/>
    <x v="333"/>
    <x v="4"/>
  </r>
  <r>
    <x v="0"/>
    <x v="68"/>
    <x v="68"/>
    <x v="59"/>
    <x v="59"/>
    <x v="59"/>
    <x v="17"/>
    <x v="239"/>
    <x v="162"/>
    <x v="66"/>
    <x v="72"/>
    <x v="154"/>
    <x v="267"/>
    <x v="4"/>
  </r>
  <r>
    <x v="0"/>
    <x v="68"/>
    <x v="68"/>
    <x v="95"/>
    <x v="95"/>
    <x v="95"/>
    <x v="17"/>
    <x v="239"/>
    <x v="162"/>
    <x v="66"/>
    <x v="72"/>
    <x v="81"/>
    <x v="401"/>
    <x v="4"/>
  </r>
  <r>
    <x v="0"/>
    <x v="68"/>
    <x v="68"/>
    <x v="28"/>
    <x v="28"/>
    <x v="28"/>
    <x v="17"/>
    <x v="239"/>
    <x v="162"/>
    <x v="66"/>
    <x v="72"/>
    <x v="81"/>
    <x v="401"/>
    <x v="4"/>
  </r>
  <r>
    <x v="0"/>
    <x v="69"/>
    <x v="69"/>
    <x v="53"/>
    <x v="53"/>
    <x v="53"/>
    <x v="0"/>
    <x v="236"/>
    <x v="339"/>
    <x v="81"/>
    <x v="238"/>
    <x v="81"/>
    <x v="341"/>
    <x v="4"/>
  </r>
  <r>
    <x v="0"/>
    <x v="69"/>
    <x v="69"/>
    <x v="14"/>
    <x v="14"/>
    <x v="14"/>
    <x v="1"/>
    <x v="235"/>
    <x v="340"/>
    <x v="49"/>
    <x v="118"/>
    <x v="54"/>
    <x v="402"/>
    <x v="4"/>
  </r>
  <r>
    <x v="0"/>
    <x v="69"/>
    <x v="69"/>
    <x v="8"/>
    <x v="8"/>
    <x v="8"/>
    <x v="1"/>
    <x v="235"/>
    <x v="340"/>
    <x v="53"/>
    <x v="62"/>
    <x v="121"/>
    <x v="379"/>
    <x v="4"/>
  </r>
  <r>
    <x v="0"/>
    <x v="69"/>
    <x v="69"/>
    <x v="70"/>
    <x v="70"/>
    <x v="70"/>
    <x v="1"/>
    <x v="235"/>
    <x v="340"/>
    <x v="116"/>
    <x v="503"/>
    <x v="81"/>
    <x v="341"/>
    <x v="4"/>
  </r>
  <r>
    <x v="0"/>
    <x v="69"/>
    <x v="69"/>
    <x v="11"/>
    <x v="11"/>
    <x v="11"/>
    <x v="4"/>
    <x v="237"/>
    <x v="341"/>
    <x v="116"/>
    <x v="503"/>
    <x v="121"/>
    <x v="379"/>
    <x v="4"/>
  </r>
  <r>
    <x v="0"/>
    <x v="69"/>
    <x v="69"/>
    <x v="58"/>
    <x v="58"/>
    <x v="58"/>
    <x v="4"/>
    <x v="237"/>
    <x v="341"/>
    <x v="53"/>
    <x v="62"/>
    <x v="154"/>
    <x v="267"/>
    <x v="4"/>
  </r>
  <r>
    <x v="0"/>
    <x v="69"/>
    <x v="69"/>
    <x v="33"/>
    <x v="33"/>
    <x v="33"/>
    <x v="4"/>
    <x v="237"/>
    <x v="341"/>
    <x v="53"/>
    <x v="62"/>
    <x v="154"/>
    <x v="267"/>
    <x v="4"/>
  </r>
  <r>
    <x v="0"/>
    <x v="69"/>
    <x v="69"/>
    <x v="4"/>
    <x v="4"/>
    <x v="4"/>
    <x v="4"/>
    <x v="237"/>
    <x v="341"/>
    <x v="116"/>
    <x v="503"/>
    <x v="121"/>
    <x v="379"/>
    <x v="4"/>
  </r>
  <r>
    <x v="0"/>
    <x v="69"/>
    <x v="69"/>
    <x v="3"/>
    <x v="3"/>
    <x v="3"/>
    <x v="4"/>
    <x v="237"/>
    <x v="341"/>
    <x v="116"/>
    <x v="503"/>
    <x v="121"/>
    <x v="379"/>
    <x v="4"/>
  </r>
  <r>
    <x v="0"/>
    <x v="69"/>
    <x v="69"/>
    <x v="1"/>
    <x v="1"/>
    <x v="1"/>
    <x v="4"/>
    <x v="237"/>
    <x v="341"/>
    <x v="53"/>
    <x v="62"/>
    <x v="154"/>
    <x v="267"/>
    <x v="4"/>
  </r>
  <r>
    <x v="0"/>
    <x v="69"/>
    <x v="69"/>
    <x v="51"/>
    <x v="51"/>
    <x v="51"/>
    <x v="10"/>
    <x v="238"/>
    <x v="22"/>
    <x v="116"/>
    <x v="503"/>
    <x v="154"/>
    <x v="267"/>
    <x v="4"/>
  </r>
  <r>
    <x v="0"/>
    <x v="69"/>
    <x v="69"/>
    <x v="65"/>
    <x v="65"/>
    <x v="65"/>
    <x v="10"/>
    <x v="238"/>
    <x v="22"/>
    <x v="116"/>
    <x v="503"/>
    <x v="154"/>
    <x v="267"/>
    <x v="4"/>
  </r>
  <r>
    <x v="0"/>
    <x v="69"/>
    <x v="69"/>
    <x v="39"/>
    <x v="39"/>
    <x v="39"/>
    <x v="10"/>
    <x v="238"/>
    <x v="22"/>
    <x v="61"/>
    <x v="280"/>
    <x v="121"/>
    <x v="379"/>
    <x v="4"/>
  </r>
  <r>
    <x v="0"/>
    <x v="69"/>
    <x v="69"/>
    <x v="6"/>
    <x v="6"/>
    <x v="6"/>
    <x v="10"/>
    <x v="238"/>
    <x v="22"/>
    <x v="116"/>
    <x v="503"/>
    <x v="154"/>
    <x v="267"/>
    <x v="4"/>
  </r>
  <r>
    <x v="0"/>
    <x v="69"/>
    <x v="69"/>
    <x v="2"/>
    <x v="2"/>
    <x v="2"/>
    <x v="10"/>
    <x v="238"/>
    <x v="22"/>
    <x v="116"/>
    <x v="503"/>
    <x v="154"/>
    <x v="267"/>
    <x v="4"/>
  </r>
  <r>
    <x v="0"/>
    <x v="69"/>
    <x v="69"/>
    <x v="5"/>
    <x v="5"/>
    <x v="5"/>
    <x v="10"/>
    <x v="238"/>
    <x v="22"/>
    <x v="116"/>
    <x v="503"/>
    <x v="154"/>
    <x v="267"/>
    <x v="4"/>
  </r>
  <r>
    <x v="0"/>
    <x v="69"/>
    <x v="69"/>
    <x v="13"/>
    <x v="13"/>
    <x v="13"/>
    <x v="16"/>
    <x v="239"/>
    <x v="149"/>
    <x v="61"/>
    <x v="280"/>
    <x v="154"/>
    <x v="267"/>
    <x v="4"/>
  </r>
  <r>
    <x v="0"/>
    <x v="69"/>
    <x v="69"/>
    <x v="104"/>
    <x v="104"/>
    <x v="104"/>
    <x v="16"/>
    <x v="239"/>
    <x v="149"/>
    <x v="49"/>
    <x v="118"/>
    <x v="121"/>
    <x v="379"/>
    <x v="4"/>
  </r>
  <r>
    <x v="0"/>
    <x v="69"/>
    <x v="69"/>
    <x v="42"/>
    <x v="42"/>
    <x v="42"/>
    <x v="16"/>
    <x v="239"/>
    <x v="149"/>
    <x v="49"/>
    <x v="118"/>
    <x v="121"/>
    <x v="379"/>
    <x v="4"/>
  </r>
  <r>
    <x v="0"/>
    <x v="69"/>
    <x v="69"/>
    <x v="46"/>
    <x v="46"/>
    <x v="46"/>
    <x v="16"/>
    <x v="239"/>
    <x v="149"/>
    <x v="61"/>
    <x v="280"/>
    <x v="154"/>
    <x v="267"/>
    <x v="4"/>
  </r>
  <r>
    <x v="0"/>
    <x v="69"/>
    <x v="69"/>
    <x v="66"/>
    <x v="66"/>
    <x v="66"/>
    <x v="16"/>
    <x v="239"/>
    <x v="149"/>
    <x v="49"/>
    <x v="118"/>
    <x v="121"/>
    <x v="379"/>
    <x v="4"/>
  </r>
  <r>
    <x v="0"/>
    <x v="69"/>
    <x v="69"/>
    <x v="112"/>
    <x v="112"/>
    <x v="112"/>
    <x v="16"/>
    <x v="239"/>
    <x v="149"/>
    <x v="61"/>
    <x v="280"/>
    <x v="154"/>
    <x v="267"/>
    <x v="4"/>
  </r>
  <r>
    <x v="0"/>
    <x v="69"/>
    <x v="69"/>
    <x v="10"/>
    <x v="10"/>
    <x v="10"/>
    <x v="16"/>
    <x v="239"/>
    <x v="149"/>
    <x v="61"/>
    <x v="280"/>
    <x v="154"/>
    <x v="267"/>
    <x v="4"/>
  </r>
  <r>
    <x v="0"/>
    <x v="69"/>
    <x v="69"/>
    <x v="102"/>
    <x v="102"/>
    <x v="102"/>
    <x v="16"/>
    <x v="239"/>
    <x v="149"/>
    <x v="49"/>
    <x v="118"/>
    <x v="121"/>
    <x v="379"/>
    <x v="4"/>
  </r>
  <r>
    <x v="0"/>
    <x v="69"/>
    <x v="69"/>
    <x v="7"/>
    <x v="7"/>
    <x v="7"/>
    <x v="16"/>
    <x v="239"/>
    <x v="149"/>
    <x v="61"/>
    <x v="280"/>
    <x v="154"/>
    <x v="267"/>
    <x v="4"/>
  </r>
  <r>
    <x v="0"/>
    <x v="69"/>
    <x v="69"/>
    <x v="95"/>
    <x v="95"/>
    <x v="95"/>
    <x v="16"/>
    <x v="239"/>
    <x v="149"/>
    <x v="49"/>
    <x v="118"/>
    <x v="121"/>
    <x v="379"/>
    <x v="4"/>
  </r>
  <r>
    <x v="0"/>
    <x v="70"/>
    <x v="70"/>
    <x v="14"/>
    <x v="14"/>
    <x v="14"/>
    <x v="0"/>
    <x v="237"/>
    <x v="342"/>
    <x v="61"/>
    <x v="581"/>
    <x v="81"/>
    <x v="403"/>
    <x v="4"/>
  </r>
  <r>
    <x v="0"/>
    <x v="70"/>
    <x v="70"/>
    <x v="109"/>
    <x v="109"/>
    <x v="109"/>
    <x v="0"/>
    <x v="237"/>
    <x v="342"/>
    <x v="53"/>
    <x v="584"/>
    <x v="154"/>
    <x v="267"/>
    <x v="4"/>
  </r>
  <r>
    <x v="0"/>
    <x v="70"/>
    <x v="70"/>
    <x v="93"/>
    <x v="93"/>
    <x v="93"/>
    <x v="2"/>
    <x v="238"/>
    <x v="343"/>
    <x v="61"/>
    <x v="581"/>
    <x v="121"/>
    <x v="399"/>
    <x v="4"/>
  </r>
  <r>
    <x v="0"/>
    <x v="70"/>
    <x v="70"/>
    <x v="113"/>
    <x v="113"/>
    <x v="113"/>
    <x v="3"/>
    <x v="239"/>
    <x v="277"/>
    <x v="66"/>
    <x v="72"/>
    <x v="81"/>
    <x v="403"/>
    <x v="4"/>
  </r>
  <r>
    <x v="0"/>
    <x v="70"/>
    <x v="70"/>
    <x v="107"/>
    <x v="107"/>
    <x v="107"/>
    <x v="3"/>
    <x v="239"/>
    <x v="277"/>
    <x v="61"/>
    <x v="581"/>
    <x v="154"/>
    <x v="267"/>
    <x v="4"/>
  </r>
  <r>
    <x v="0"/>
    <x v="70"/>
    <x v="70"/>
    <x v="66"/>
    <x v="66"/>
    <x v="66"/>
    <x v="3"/>
    <x v="239"/>
    <x v="277"/>
    <x v="61"/>
    <x v="581"/>
    <x v="154"/>
    <x v="267"/>
    <x v="4"/>
  </r>
  <r>
    <x v="0"/>
    <x v="70"/>
    <x v="70"/>
    <x v="70"/>
    <x v="70"/>
    <x v="70"/>
    <x v="3"/>
    <x v="239"/>
    <x v="277"/>
    <x v="61"/>
    <x v="581"/>
    <x v="154"/>
    <x v="267"/>
    <x v="4"/>
  </r>
  <r>
    <x v="0"/>
    <x v="70"/>
    <x v="70"/>
    <x v="114"/>
    <x v="114"/>
    <x v="114"/>
    <x v="3"/>
    <x v="239"/>
    <x v="277"/>
    <x v="66"/>
    <x v="72"/>
    <x v="121"/>
    <x v="399"/>
    <x v="1"/>
  </r>
  <r>
    <x v="0"/>
    <x v="70"/>
    <x v="70"/>
    <x v="51"/>
    <x v="51"/>
    <x v="51"/>
    <x v="8"/>
    <x v="240"/>
    <x v="167"/>
    <x v="49"/>
    <x v="585"/>
    <x v="154"/>
    <x v="267"/>
    <x v="4"/>
  </r>
  <r>
    <x v="0"/>
    <x v="70"/>
    <x v="70"/>
    <x v="115"/>
    <x v="115"/>
    <x v="115"/>
    <x v="8"/>
    <x v="240"/>
    <x v="167"/>
    <x v="66"/>
    <x v="72"/>
    <x v="121"/>
    <x v="399"/>
    <x v="4"/>
  </r>
  <r>
    <x v="0"/>
    <x v="70"/>
    <x v="70"/>
    <x v="116"/>
    <x v="116"/>
    <x v="116"/>
    <x v="8"/>
    <x v="240"/>
    <x v="167"/>
    <x v="66"/>
    <x v="72"/>
    <x v="121"/>
    <x v="399"/>
    <x v="4"/>
  </r>
  <r>
    <x v="0"/>
    <x v="70"/>
    <x v="70"/>
    <x v="117"/>
    <x v="117"/>
    <x v="117"/>
    <x v="8"/>
    <x v="240"/>
    <x v="167"/>
    <x v="66"/>
    <x v="72"/>
    <x v="121"/>
    <x v="399"/>
    <x v="4"/>
  </r>
  <r>
    <x v="0"/>
    <x v="70"/>
    <x v="70"/>
    <x v="104"/>
    <x v="104"/>
    <x v="104"/>
    <x v="8"/>
    <x v="240"/>
    <x v="167"/>
    <x v="66"/>
    <x v="72"/>
    <x v="154"/>
    <x v="267"/>
    <x v="1"/>
  </r>
  <r>
    <x v="0"/>
    <x v="70"/>
    <x v="70"/>
    <x v="50"/>
    <x v="50"/>
    <x v="50"/>
    <x v="8"/>
    <x v="240"/>
    <x v="167"/>
    <x v="49"/>
    <x v="585"/>
    <x v="154"/>
    <x v="267"/>
    <x v="4"/>
  </r>
  <r>
    <x v="0"/>
    <x v="70"/>
    <x v="70"/>
    <x v="118"/>
    <x v="118"/>
    <x v="118"/>
    <x v="8"/>
    <x v="240"/>
    <x v="167"/>
    <x v="49"/>
    <x v="585"/>
    <x v="154"/>
    <x v="267"/>
    <x v="4"/>
  </r>
  <r>
    <x v="0"/>
    <x v="70"/>
    <x v="70"/>
    <x v="119"/>
    <x v="119"/>
    <x v="119"/>
    <x v="8"/>
    <x v="240"/>
    <x v="167"/>
    <x v="66"/>
    <x v="72"/>
    <x v="154"/>
    <x v="267"/>
    <x v="1"/>
  </r>
  <r>
    <x v="0"/>
    <x v="70"/>
    <x v="70"/>
    <x v="120"/>
    <x v="120"/>
    <x v="120"/>
    <x v="8"/>
    <x v="240"/>
    <x v="167"/>
    <x v="49"/>
    <x v="585"/>
    <x v="154"/>
    <x v="267"/>
    <x v="4"/>
  </r>
  <r>
    <x v="0"/>
    <x v="70"/>
    <x v="70"/>
    <x v="58"/>
    <x v="58"/>
    <x v="58"/>
    <x v="8"/>
    <x v="240"/>
    <x v="167"/>
    <x v="49"/>
    <x v="585"/>
    <x v="154"/>
    <x v="267"/>
    <x v="4"/>
  </r>
  <r>
    <x v="0"/>
    <x v="70"/>
    <x v="70"/>
    <x v="33"/>
    <x v="33"/>
    <x v="33"/>
    <x v="8"/>
    <x v="240"/>
    <x v="167"/>
    <x v="49"/>
    <x v="585"/>
    <x v="154"/>
    <x v="267"/>
    <x v="4"/>
  </r>
  <r>
    <x v="0"/>
    <x v="70"/>
    <x v="70"/>
    <x v="8"/>
    <x v="8"/>
    <x v="8"/>
    <x v="8"/>
    <x v="240"/>
    <x v="167"/>
    <x v="49"/>
    <x v="585"/>
    <x v="154"/>
    <x v="267"/>
    <x v="4"/>
  </r>
  <r>
    <x v="0"/>
    <x v="70"/>
    <x v="70"/>
    <x v="10"/>
    <x v="10"/>
    <x v="10"/>
    <x v="8"/>
    <x v="240"/>
    <x v="167"/>
    <x v="49"/>
    <x v="585"/>
    <x v="154"/>
    <x v="267"/>
    <x v="4"/>
  </r>
  <r>
    <x v="0"/>
    <x v="70"/>
    <x v="70"/>
    <x v="68"/>
    <x v="68"/>
    <x v="68"/>
    <x v="8"/>
    <x v="240"/>
    <x v="167"/>
    <x v="66"/>
    <x v="72"/>
    <x v="121"/>
    <x v="399"/>
    <x v="4"/>
  </r>
  <r>
    <x v="0"/>
    <x v="70"/>
    <x v="70"/>
    <x v="9"/>
    <x v="9"/>
    <x v="9"/>
    <x v="8"/>
    <x v="240"/>
    <x v="167"/>
    <x v="49"/>
    <x v="585"/>
    <x v="154"/>
    <x v="267"/>
    <x v="4"/>
  </r>
  <r>
    <x v="0"/>
    <x v="70"/>
    <x v="70"/>
    <x v="0"/>
    <x v="0"/>
    <x v="0"/>
    <x v="8"/>
    <x v="240"/>
    <x v="167"/>
    <x v="49"/>
    <x v="585"/>
    <x v="154"/>
    <x v="267"/>
    <x v="4"/>
  </r>
  <r>
    <x v="0"/>
    <x v="70"/>
    <x v="70"/>
    <x v="3"/>
    <x v="3"/>
    <x v="3"/>
    <x v="8"/>
    <x v="240"/>
    <x v="167"/>
    <x v="49"/>
    <x v="585"/>
    <x v="154"/>
    <x v="267"/>
    <x v="4"/>
  </r>
  <r>
    <x v="0"/>
    <x v="70"/>
    <x v="70"/>
    <x v="59"/>
    <x v="59"/>
    <x v="59"/>
    <x v="8"/>
    <x v="240"/>
    <x v="167"/>
    <x v="66"/>
    <x v="72"/>
    <x v="154"/>
    <x v="267"/>
    <x v="4"/>
  </r>
  <r>
    <x v="0"/>
    <x v="70"/>
    <x v="70"/>
    <x v="6"/>
    <x v="6"/>
    <x v="6"/>
    <x v="8"/>
    <x v="240"/>
    <x v="167"/>
    <x v="49"/>
    <x v="585"/>
    <x v="154"/>
    <x v="267"/>
    <x v="4"/>
  </r>
  <r>
    <x v="0"/>
    <x v="70"/>
    <x v="70"/>
    <x v="1"/>
    <x v="1"/>
    <x v="1"/>
    <x v="8"/>
    <x v="240"/>
    <x v="167"/>
    <x v="49"/>
    <x v="585"/>
    <x v="154"/>
    <x v="267"/>
    <x v="4"/>
  </r>
  <r>
    <x v="0"/>
    <x v="70"/>
    <x v="70"/>
    <x v="121"/>
    <x v="121"/>
    <x v="121"/>
    <x v="8"/>
    <x v="240"/>
    <x v="167"/>
    <x v="66"/>
    <x v="72"/>
    <x v="121"/>
    <x v="399"/>
    <x v="4"/>
  </r>
  <r>
    <x v="0"/>
    <x v="70"/>
    <x v="70"/>
    <x v="101"/>
    <x v="101"/>
    <x v="101"/>
    <x v="8"/>
    <x v="240"/>
    <x v="167"/>
    <x v="49"/>
    <x v="585"/>
    <x v="154"/>
    <x v="267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57684B-B25B-4C04-A061-DCCF1D3D5285}" name="pvt_L" cacheId="2194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137" firstHeaderRow="0" firstDataRow="1" firstDataCol="1"/>
  <pivotFields count="11">
    <pivotField showAll="0"/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11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1043">
      <pivotArea field="2" type="button" dataOnly="0" labelOnly="1" outline="0" axis="axisRow" fieldPosition="0"/>
    </format>
    <format dxfId="1042">
      <pivotArea outline="0" fieldPosition="0">
        <references count="1">
          <reference field="4294967294" count="1">
            <x v="0"/>
          </reference>
        </references>
      </pivotArea>
    </format>
    <format dxfId="1041">
      <pivotArea outline="0" fieldPosition="0">
        <references count="1">
          <reference field="4294967294" count="1">
            <x v="1"/>
          </reference>
        </references>
      </pivotArea>
    </format>
    <format dxfId="1040">
      <pivotArea outline="0" fieldPosition="0">
        <references count="1">
          <reference field="4294967294" count="1">
            <x v="2"/>
          </reference>
        </references>
      </pivotArea>
    </format>
    <format dxfId="1039">
      <pivotArea outline="0" fieldPosition="0">
        <references count="1">
          <reference field="4294967294" count="1">
            <x v="3"/>
          </reference>
        </references>
      </pivotArea>
    </format>
    <format dxfId="1038">
      <pivotArea outline="0" fieldPosition="0">
        <references count="1">
          <reference field="4294967294" count="1">
            <x v="4"/>
          </reference>
        </references>
      </pivotArea>
    </format>
    <format dxfId="1037">
      <pivotArea outline="0" fieldPosition="0">
        <references count="1">
          <reference field="4294967294" count="1">
            <x v="5"/>
          </reference>
        </references>
      </pivotArea>
    </format>
    <format dxfId="1036">
      <pivotArea outline="0" fieldPosition="0">
        <references count="1">
          <reference field="4294967294" count="1">
            <x v="6"/>
          </reference>
        </references>
      </pivotArea>
    </format>
    <format dxfId="1035">
      <pivotArea field="2" type="button" dataOnly="0" labelOnly="1" outline="0" axis="axisRow" fieldPosition="0"/>
    </format>
    <format dxfId="10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3">
      <pivotArea field="2" type="button" dataOnly="0" labelOnly="1" outline="0" axis="axisRow" fieldPosition="0"/>
    </format>
    <format dxfId="10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31">
      <pivotArea field="2" type="button" dataOnly="0" labelOnly="1" outline="0" axis="axisRow" fieldPosition="0"/>
    </format>
    <format dxfId="10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2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34BD90-4FF0-4935-B9A7-5534D8EF0518}" name="pvt_M" cacheId="2195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0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1">
        <item x="53"/>
        <item x="52"/>
        <item x="48"/>
        <item x="55"/>
        <item x="0"/>
        <item x="29"/>
        <item x="20"/>
        <item x="36"/>
        <item x="19"/>
        <item x="60"/>
        <item x="59"/>
        <item x="61"/>
        <item x="67"/>
        <item x="31"/>
        <item x="27"/>
        <item x="44"/>
        <item x="32"/>
        <item x="34"/>
        <item x="43"/>
        <item x="23"/>
        <item x="35"/>
        <item x="33"/>
        <item x="37"/>
        <item x="21"/>
        <item x="49"/>
        <item x="56"/>
        <item x="30"/>
        <item x="39"/>
        <item x="57"/>
        <item x="58"/>
        <item x="62"/>
        <item x="63"/>
        <item x="64"/>
        <item x="65"/>
        <item x="66"/>
        <item x="40"/>
        <item x="41"/>
        <item x="54"/>
        <item x="25"/>
        <item x="47"/>
        <item x="38"/>
        <item x="46"/>
        <item x="22"/>
        <item x="42"/>
        <item x="26"/>
        <item x="18"/>
        <item x="24"/>
        <item x="28"/>
        <item x="45"/>
        <item x="68"/>
        <item x="69"/>
        <item x="70"/>
        <item x="50"/>
        <item x="1"/>
        <item x="12"/>
        <item x="14"/>
        <item x="8"/>
        <item x="9"/>
        <item x="5"/>
        <item x="2"/>
        <item x="7"/>
        <item x="11"/>
        <item x="6"/>
        <item x="17"/>
        <item x="3"/>
        <item x="13"/>
        <item x="10"/>
        <item x="4"/>
        <item x="16"/>
        <item x="15"/>
        <item x="51"/>
      </items>
    </pivotField>
    <pivotField axis="axisRow" showAll="0" insertBlankRow="1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 defaultSubtotal="0">
      <items count="56">
        <item x="4"/>
        <item x="5"/>
        <item x="8"/>
        <item x="35"/>
        <item x="51"/>
        <item x="31"/>
        <item x="39"/>
        <item x="44"/>
        <item x="23"/>
        <item x="52"/>
        <item x="37"/>
        <item x="32"/>
        <item x="47"/>
        <item x="15"/>
        <item x="28"/>
        <item x="16"/>
        <item x="33"/>
        <item x="30"/>
        <item x="34"/>
        <item x="53"/>
        <item x="25"/>
        <item x="50"/>
        <item x="38"/>
        <item x="45"/>
        <item x="29"/>
        <item x="36"/>
        <item x="24"/>
        <item x="18"/>
        <item x="14"/>
        <item x="17"/>
        <item x="12"/>
        <item x="11"/>
        <item x="10"/>
        <item x="3"/>
        <item x="48"/>
        <item x="26"/>
        <item x="19"/>
        <item x="2"/>
        <item x="54"/>
        <item x="7"/>
        <item x="13"/>
        <item x="40"/>
        <item x="0"/>
        <item x="41"/>
        <item x="1"/>
        <item x="21"/>
        <item x="43"/>
        <item x="6"/>
        <item x="9"/>
        <item x="22"/>
        <item x="46"/>
        <item x="27"/>
        <item x="49"/>
        <item x="55"/>
        <item x="20"/>
        <item x="42"/>
      </items>
    </pivotField>
    <pivotField showAll="0" defaultSubtotal="0">
      <items count="56">
        <item x="42"/>
        <item x="17"/>
        <item x="6"/>
        <item x="20"/>
        <item x="3"/>
        <item x="21"/>
        <item x="34"/>
        <item x="28"/>
        <item x="37"/>
        <item x="9"/>
        <item x="23"/>
        <item x="0"/>
        <item x="24"/>
        <item x="11"/>
        <item x="51"/>
        <item x="29"/>
        <item x="44"/>
        <item x="14"/>
        <item x="10"/>
        <item x="49"/>
        <item x="13"/>
        <item x="15"/>
        <item x="18"/>
        <item x="43"/>
        <item x="41"/>
        <item x="27"/>
        <item x="22"/>
        <item x="40"/>
        <item x="25"/>
        <item x="12"/>
        <item x="55"/>
        <item x="5"/>
        <item x="35"/>
        <item x="53"/>
        <item x="16"/>
        <item x="52"/>
        <item x="8"/>
        <item x="7"/>
        <item x="1"/>
        <item x="36"/>
        <item x="31"/>
        <item x="45"/>
        <item x="4"/>
        <item x="47"/>
        <item x="33"/>
        <item x="38"/>
        <item x="50"/>
        <item x="46"/>
        <item x="19"/>
        <item x="2"/>
        <item x="54"/>
        <item x="26"/>
        <item x="48"/>
        <item x="39"/>
        <item x="30"/>
        <item x="32"/>
      </items>
    </pivotField>
    <pivotField axis="axisRow" showAll="0" defaultSubtotal="0">
      <items count="56">
        <item x="4"/>
        <item x="5"/>
        <item x="8"/>
        <item x="35"/>
        <item x="51"/>
        <item x="31"/>
        <item x="39"/>
        <item x="44"/>
        <item x="23"/>
        <item x="52"/>
        <item x="37"/>
        <item x="32"/>
        <item x="47"/>
        <item x="15"/>
        <item x="28"/>
        <item x="16"/>
        <item x="33"/>
        <item x="30"/>
        <item x="34"/>
        <item x="53"/>
        <item x="25"/>
        <item x="50"/>
        <item x="38"/>
        <item x="45"/>
        <item x="29"/>
        <item x="36"/>
        <item x="24"/>
        <item x="18"/>
        <item x="14"/>
        <item x="17"/>
        <item x="12"/>
        <item x="11"/>
        <item x="10"/>
        <item x="3"/>
        <item x="48"/>
        <item x="26"/>
        <item x="19"/>
        <item x="2"/>
        <item x="54"/>
        <item x="7"/>
        <item x="13"/>
        <item x="40"/>
        <item x="0"/>
        <item x="41"/>
        <item x="1"/>
        <item x="21"/>
        <item x="43"/>
        <item x="6"/>
        <item x="9"/>
        <item x="22"/>
        <item x="46"/>
        <item x="27"/>
        <item x="49"/>
        <item x="55"/>
        <item x="20"/>
        <item x="4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50">
        <item x="349"/>
        <item x="347"/>
        <item x="346"/>
        <item x="348"/>
        <item x="345"/>
        <item x="344"/>
        <item x="342"/>
        <item x="341"/>
        <item x="340"/>
        <item x="343"/>
        <item x="338"/>
        <item x="337"/>
        <item x="331"/>
        <item x="330"/>
        <item x="336"/>
        <item x="321"/>
        <item x="320"/>
        <item x="329"/>
        <item x="335"/>
        <item x="319"/>
        <item x="291"/>
        <item x="318"/>
        <item x="290"/>
        <item x="289"/>
        <item x="328"/>
        <item x="288"/>
        <item x="316"/>
        <item x="315"/>
        <item x="314"/>
        <item x="317"/>
        <item x="287"/>
        <item x="294"/>
        <item x="293"/>
        <item x="292"/>
        <item x="273"/>
        <item x="333"/>
        <item x="272"/>
        <item x="147"/>
        <item x="146"/>
        <item x="271"/>
        <item x="168"/>
        <item x="167"/>
        <item x="157"/>
        <item x="327"/>
        <item x="156"/>
        <item x="223"/>
        <item x="155"/>
        <item x="166"/>
        <item x="165"/>
        <item x="154"/>
        <item x="58"/>
        <item x="74"/>
        <item x="73"/>
        <item x="199"/>
        <item x="145"/>
        <item x="217"/>
        <item x="188"/>
        <item x="72"/>
        <item x="164"/>
        <item x="163"/>
        <item x="162"/>
        <item x="91"/>
        <item x="161"/>
        <item x="198"/>
        <item x="57"/>
        <item x="286"/>
        <item x="90"/>
        <item x="89"/>
        <item x="144"/>
        <item x="88"/>
        <item x="71"/>
        <item x="143"/>
        <item x="142"/>
        <item x="334"/>
        <item x="141"/>
        <item x="56"/>
        <item x="197"/>
        <item x="70"/>
        <item x="196"/>
        <item x="69"/>
        <item x="153"/>
        <item x="55"/>
        <item x="54"/>
        <item x="267"/>
        <item x="183"/>
        <item x="87"/>
        <item x="53"/>
        <item x="211"/>
        <item x="52"/>
        <item x="68"/>
        <item x="266"/>
        <item x="105"/>
        <item x="86"/>
        <item x="104"/>
        <item x="152"/>
        <item x="265"/>
        <item x="285"/>
        <item x="103"/>
        <item x="102"/>
        <item x="85"/>
        <item x="67"/>
        <item x="205"/>
        <item x="236"/>
        <item x="66"/>
        <item x="248"/>
        <item x="120"/>
        <item x="247"/>
        <item x="101"/>
        <item x="322"/>
        <item x="210"/>
        <item x="51"/>
        <item x="119"/>
        <item x="295"/>
        <item x="204"/>
        <item x="187"/>
        <item x="270"/>
        <item x="182"/>
        <item x="118"/>
        <item x="50"/>
        <item x="65"/>
        <item x="49"/>
        <item x="181"/>
        <item x="135"/>
        <item x="48"/>
        <item x="195"/>
        <item x="140"/>
        <item x="203"/>
        <item x="194"/>
        <item x="264"/>
        <item x="84"/>
        <item x="83"/>
        <item x="64"/>
        <item x="180"/>
        <item x="47"/>
        <item x="100"/>
        <item x="117"/>
        <item x="99"/>
        <item x="311"/>
        <item x="263"/>
        <item x="63"/>
        <item x="193"/>
        <item x="235"/>
        <item x="116"/>
        <item x="151"/>
        <item x="160"/>
        <item x="222"/>
        <item x="221"/>
        <item x="216"/>
        <item x="262"/>
        <item x="186"/>
        <item x="339"/>
        <item x="215"/>
        <item x="246"/>
        <item x="115"/>
        <item x="82"/>
        <item x="179"/>
        <item x="284"/>
        <item x="139"/>
        <item x="81"/>
        <item x="192"/>
        <item x="325"/>
        <item x="178"/>
        <item x="114"/>
        <item x="113"/>
        <item x="177"/>
        <item x="176"/>
        <item x="80"/>
        <item x="138"/>
        <item x="112"/>
        <item x="79"/>
        <item x="279"/>
        <item x="98"/>
        <item x="209"/>
        <item x="305"/>
        <item x="97"/>
        <item x="283"/>
        <item x="313"/>
        <item x="175"/>
        <item x="191"/>
        <item x="214"/>
        <item x="46"/>
        <item x="96"/>
        <item x="282"/>
        <item x="111"/>
        <item x="174"/>
        <item x="261"/>
        <item x="312"/>
        <item x="134"/>
        <item x="308"/>
        <item x="208"/>
        <item x="260"/>
        <item x="133"/>
        <item x="304"/>
        <item x="95"/>
        <item x="132"/>
        <item x="173"/>
        <item x="326"/>
        <item x="234"/>
        <item x="159"/>
        <item x="131"/>
        <item x="78"/>
        <item x="332"/>
        <item x="324"/>
        <item x="62"/>
        <item x="323"/>
        <item x="150"/>
        <item x="281"/>
        <item x="130"/>
        <item x="202"/>
        <item x="185"/>
        <item x="45"/>
        <item x="303"/>
        <item x="129"/>
        <item x="172"/>
        <item x="171"/>
        <item x="259"/>
        <item x="245"/>
        <item x="201"/>
        <item x="200"/>
        <item x="158"/>
        <item x="128"/>
        <item x="280"/>
        <item x="233"/>
        <item x="44"/>
        <item x="149"/>
        <item x="110"/>
        <item x="137"/>
        <item x="269"/>
        <item x="220"/>
        <item x="232"/>
        <item x="310"/>
        <item x="43"/>
        <item x="207"/>
        <item x="302"/>
        <item x="244"/>
        <item x="219"/>
        <item x="278"/>
        <item x="231"/>
        <item x="218"/>
        <item x="301"/>
        <item x="277"/>
        <item x="300"/>
        <item x="127"/>
        <item x="268"/>
        <item x="190"/>
        <item x="189"/>
        <item x="243"/>
        <item x="307"/>
        <item x="276"/>
        <item x="94"/>
        <item x="184"/>
        <item x="77"/>
        <item x="213"/>
        <item x="136"/>
        <item x="258"/>
        <item x="206"/>
        <item x="109"/>
        <item x="242"/>
        <item x="230"/>
        <item x="61"/>
        <item x="229"/>
        <item x="76"/>
        <item x="60"/>
        <item x="306"/>
        <item x="257"/>
        <item x="256"/>
        <item x="108"/>
        <item x="170"/>
        <item x="93"/>
        <item x="42"/>
        <item x="309"/>
        <item x="59"/>
        <item x="148"/>
        <item x="241"/>
        <item x="212"/>
        <item x="126"/>
        <item x="240"/>
        <item x="125"/>
        <item x="169"/>
        <item x="228"/>
        <item x="299"/>
        <item x="107"/>
        <item x="227"/>
        <item x="255"/>
        <item x="124"/>
        <item x="239"/>
        <item x="75"/>
        <item x="254"/>
        <item x="253"/>
        <item x="92"/>
        <item x="298"/>
        <item x="226"/>
        <item x="252"/>
        <item x="41"/>
        <item x="275"/>
        <item x="106"/>
        <item x="274"/>
        <item x="40"/>
        <item x="238"/>
        <item x="237"/>
        <item x="123"/>
        <item x="297"/>
        <item x="296"/>
        <item x="251"/>
        <item x="250"/>
        <item x="225"/>
        <item x="249"/>
        <item x="224"/>
        <item x="122"/>
        <item x="39"/>
        <item x="38"/>
        <item x="37"/>
        <item x="36"/>
        <item x="35"/>
        <item x="34"/>
        <item x="33"/>
        <item x="32"/>
        <item x="31"/>
        <item x="121"/>
        <item x="30"/>
        <item x="29"/>
        <item x="28"/>
        <item x="27"/>
        <item x="26"/>
        <item x="25"/>
        <item x="19"/>
        <item x="18"/>
        <item x="17"/>
        <item x="16"/>
        <item x="24"/>
        <item x="15"/>
        <item x="14"/>
        <item x="13"/>
        <item x="23"/>
        <item x="12"/>
        <item x="22"/>
        <item x="11"/>
        <item x="10"/>
        <item x="9"/>
        <item x="21"/>
        <item x="8"/>
        <item x="7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604">
        <item x="599"/>
        <item x="573"/>
        <item x="409"/>
        <item x="437"/>
        <item x="498"/>
        <item x="54"/>
        <item x="368"/>
        <item x="585"/>
        <item x="436"/>
        <item x="148"/>
        <item x="595"/>
        <item x="384"/>
        <item x="147"/>
        <item x="272"/>
        <item x="467"/>
        <item x="367"/>
        <item x="383"/>
        <item x="294"/>
        <item x="293"/>
        <item x="429"/>
        <item x="343"/>
        <item x="132"/>
        <item x="497"/>
        <item x="131"/>
        <item x="285"/>
        <item x="324"/>
        <item x="484"/>
        <item x="220"/>
        <item x="304"/>
        <item x="284"/>
        <item x="261"/>
        <item x="283"/>
        <item x="84"/>
        <item x="342"/>
        <item x="53"/>
        <item x="236"/>
        <item x="130"/>
        <item x="69"/>
        <item x="375"/>
        <item x="68"/>
        <item x="219"/>
        <item x="19"/>
        <item x="260"/>
        <item x="247"/>
        <item x="83"/>
        <item x="129"/>
        <item x="82"/>
        <item x="194"/>
        <item x="382"/>
        <item x="207"/>
        <item x="18"/>
        <item x="81"/>
        <item x="246"/>
        <item x="146"/>
        <item x="67"/>
        <item x="17"/>
        <item x="116"/>
        <item x="16"/>
        <item x="245"/>
        <item x="52"/>
        <item x="462"/>
        <item x="235"/>
        <item x="271"/>
        <item x="145"/>
        <item x="244"/>
        <item x="15"/>
        <item x="184"/>
        <item x="157"/>
        <item x="394"/>
        <item x="354"/>
        <item x="169"/>
        <item x="381"/>
        <item x="303"/>
        <item x="36"/>
        <item x="234"/>
        <item x="51"/>
        <item x="14"/>
        <item x="444"/>
        <item x="101"/>
        <item x="282"/>
        <item x="100"/>
        <item x="156"/>
        <item x="99"/>
        <item x="168"/>
        <item x="50"/>
        <item x="35"/>
        <item x="540"/>
        <item x="206"/>
        <item x="49"/>
        <item x="516"/>
        <item x="98"/>
        <item x="66"/>
        <item x="97"/>
        <item x="13"/>
        <item x="96"/>
        <item x="34"/>
        <item x="115"/>
        <item x="408"/>
        <item x="281"/>
        <item x="422"/>
        <item x="144"/>
        <item x="353"/>
        <item x="128"/>
        <item x="80"/>
        <item x="12"/>
        <item x="143"/>
        <item x="33"/>
        <item x="127"/>
        <item x="95"/>
        <item x="65"/>
        <item x="323"/>
        <item x="233"/>
        <item x="603"/>
        <item x="142"/>
        <item x="64"/>
        <item x="322"/>
        <item x="126"/>
        <item x="542"/>
        <item x="79"/>
        <item x="32"/>
        <item x="259"/>
        <item x="548"/>
        <item x="407"/>
        <item x="141"/>
        <item x="205"/>
        <item x="31"/>
        <item x="572"/>
        <item x="232"/>
        <item x="558"/>
        <item x="114"/>
        <item x="183"/>
        <item x="334"/>
        <item x="204"/>
        <item x="182"/>
        <item x="48"/>
        <item x="565"/>
        <item x="167"/>
        <item x="547"/>
        <item x="113"/>
        <item x="181"/>
        <item x="258"/>
        <item x="63"/>
        <item x="555"/>
        <item x="393"/>
        <item x="496"/>
        <item x="243"/>
        <item x="451"/>
        <item x="333"/>
        <item x="47"/>
        <item x="30"/>
        <item x="193"/>
        <item x="546"/>
        <item x="406"/>
        <item x="46"/>
        <item x="180"/>
        <item x="280"/>
        <item x="125"/>
        <item x="459"/>
        <item x="45"/>
        <item x="94"/>
        <item x="461"/>
        <item x="231"/>
        <item x="93"/>
        <item x="166"/>
        <item x="11"/>
        <item x="62"/>
        <item x="124"/>
        <item x="10"/>
        <item x="140"/>
        <item x="428"/>
        <item x="112"/>
        <item x="509"/>
        <item x="352"/>
        <item x="416"/>
        <item x="61"/>
        <item x="483"/>
        <item x="165"/>
        <item x="359"/>
        <item x="279"/>
        <item x="44"/>
        <item x="78"/>
        <item x="192"/>
        <item x="77"/>
        <item x="450"/>
        <item x="203"/>
        <item x="111"/>
        <item x="270"/>
        <item x="110"/>
        <item x="443"/>
        <item x="571"/>
        <item x="218"/>
        <item x="351"/>
        <item x="164"/>
        <item x="109"/>
        <item x="29"/>
        <item x="584"/>
        <item x="269"/>
        <item x="108"/>
        <item x="278"/>
        <item x="520"/>
        <item x="302"/>
        <item x="9"/>
        <item x="292"/>
        <item x="380"/>
        <item x="28"/>
        <item x="179"/>
        <item x="217"/>
        <item x="313"/>
        <item x="123"/>
        <item x="466"/>
        <item x="421"/>
        <item x="268"/>
        <item x="257"/>
        <item x="27"/>
        <item x="26"/>
        <item x="301"/>
        <item x="490"/>
        <item x="202"/>
        <item x="230"/>
        <item x="178"/>
        <item x="531"/>
        <item x="350"/>
        <item x="576"/>
        <item x="229"/>
        <item x="366"/>
        <item x="216"/>
        <item x="177"/>
        <item x="332"/>
        <item x="176"/>
        <item x="107"/>
        <item x="191"/>
        <item x="25"/>
        <item x="535"/>
        <item x="300"/>
        <item x="92"/>
        <item x="321"/>
        <item x="8"/>
        <item x="449"/>
        <item x="7"/>
        <item x="91"/>
        <item x="435"/>
        <item x="228"/>
        <item x="291"/>
        <item x="331"/>
        <item x="570"/>
        <item x="341"/>
        <item x="76"/>
        <item x="60"/>
        <item x="392"/>
        <item x="374"/>
        <item x="312"/>
        <item x="391"/>
        <item x="163"/>
        <item x="175"/>
        <item x="201"/>
        <item x="256"/>
        <item x="90"/>
        <item x="420"/>
        <item x="503"/>
        <item x="139"/>
        <item x="89"/>
        <item x="215"/>
        <item x="311"/>
        <item x="200"/>
        <item x="138"/>
        <item x="349"/>
        <item x="75"/>
        <item x="530"/>
        <item x="448"/>
        <item x="59"/>
        <item x="174"/>
        <item x="419"/>
        <item x="74"/>
        <item x="365"/>
        <item x="155"/>
        <item x="299"/>
        <item x="442"/>
        <item x="255"/>
        <item x="162"/>
        <item x="190"/>
        <item x="340"/>
        <item x="267"/>
        <item x="465"/>
        <item x="88"/>
        <item x="441"/>
        <item x="6"/>
        <item x="330"/>
        <item x="43"/>
        <item x="5"/>
        <item x="590"/>
        <item x="173"/>
        <item x="427"/>
        <item x="415"/>
        <item x="277"/>
        <item x="254"/>
        <item x="564"/>
        <item x="569"/>
        <item x="161"/>
        <item x="399"/>
        <item x="242"/>
        <item x="199"/>
        <item x="364"/>
        <item x="348"/>
        <item x="253"/>
        <item x="214"/>
        <item x="502"/>
        <item x="189"/>
        <item x="508"/>
        <item x="398"/>
        <item x="583"/>
        <item x="390"/>
        <item x="241"/>
        <item x="227"/>
        <item x="276"/>
        <item x="252"/>
        <item x="405"/>
        <item x="251"/>
        <item x="24"/>
        <item x="414"/>
        <item x="404"/>
        <item x="515"/>
        <item x="320"/>
        <item x="539"/>
        <item x="4"/>
        <item x="458"/>
        <item x="489"/>
        <item x="122"/>
        <item x="482"/>
        <item x="413"/>
        <item x="495"/>
        <item x="329"/>
        <item x="373"/>
        <item x="188"/>
        <item x="379"/>
        <item x="594"/>
        <item x="121"/>
        <item x="541"/>
        <item x="440"/>
        <item x="290"/>
        <item x="319"/>
        <item x="106"/>
        <item x="172"/>
        <item x="582"/>
        <item x="73"/>
        <item x="447"/>
        <item x="198"/>
        <item x="310"/>
        <item x="298"/>
        <item x="318"/>
        <item x="561"/>
        <item x="187"/>
        <item x="154"/>
        <item x="137"/>
        <item x="481"/>
        <item x="226"/>
        <item x="3"/>
        <item x="42"/>
        <item x="317"/>
        <item x="120"/>
        <item x="457"/>
        <item x="581"/>
        <item x="225"/>
        <item x="213"/>
        <item x="551"/>
        <item x="511"/>
        <item x="153"/>
        <item x="501"/>
        <item x="23"/>
        <item x="580"/>
        <item x="347"/>
        <item x="480"/>
        <item x="593"/>
        <item x="266"/>
        <item x="136"/>
        <item x="152"/>
        <item x="439"/>
        <item x="346"/>
        <item x="514"/>
        <item x="557"/>
        <item x="525"/>
        <item x="472"/>
        <item x="434"/>
        <item x="240"/>
        <item x="412"/>
        <item x="309"/>
        <item x="372"/>
        <item x="265"/>
        <item x="426"/>
        <item x="316"/>
        <item x="358"/>
        <item x="212"/>
        <item x="308"/>
        <item x="197"/>
        <item x="224"/>
        <item x="345"/>
        <item x="524"/>
        <item x="328"/>
        <item x="307"/>
        <item x="223"/>
        <item x="529"/>
        <item x="589"/>
        <item x="507"/>
        <item x="556"/>
        <item x="471"/>
        <item x="41"/>
        <item x="378"/>
        <item x="563"/>
        <item x="397"/>
        <item x="513"/>
        <item x="456"/>
        <item x="528"/>
        <item x="339"/>
        <item x="344"/>
        <item x="598"/>
        <item x="488"/>
        <item x="377"/>
        <item x="264"/>
        <item x="58"/>
        <item x="211"/>
        <item x="40"/>
        <item x="105"/>
        <item x="506"/>
        <item x="455"/>
        <item x="389"/>
        <item x="588"/>
        <item x="534"/>
        <item x="275"/>
        <item x="512"/>
        <item x="479"/>
        <item x="363"/>
        <item x="554"/>
        <item x="533"/>
        <item x="592"/>
        <item x="446"/>
        <item x="338"/>
        <item x="327"/>
        <item x="523"/>
        <item x="425"/>
        <item x="487"/>
        <item x="87"/>
        <item x="602"/>
        <item x="289"/>
        <item x="494"/>
        <item x="470"/>
        <item x="337"/>
        <item x="160"/>
        <item x="418"/>
        <item x="210"/>
        <item x="297"/>
        <item x="417"/>
        <item x="469"/>
        <item x="388"/>
        <item x="186"/>
        <item x="445"/>
        <item x="104"/>
        <item x="519"/>
        <item x="538"/>
        <item x="403"/>
        <item x="505"/>
        <item x="476"/>
        <item x="296"/>
        <item x="545"/>
        <item x="222"/>
        <item x="550"/>
        <item x="510"/>
        <item x="522"/>
        <item x="362"/>
        <item x="402"/>
        <item x="2"/>
        <item x="568"/>
        <item x="22"/>
        <item x="500"/>
        <item x="527"/>
        <item x="209"/>
        <item x="454"/>
        <item x="499"/>
        <item x="433"/>
        <item x="288"/>
        <item x="72"/>
        <item x="208"/>
        <item x="438"/>
        <item x="521"/>
        <item x="432"/>
        <item x="504"/>
        <item x="587"/>
        <item x="336"/>
        <item x="493"/>
        <item x="86"/>
        <item x="119"/>
        <item x="171"/>
        <item x="357"/>
        <item x="287"/>
        <item x="579"/>
        <item x="478"/>
        <item x="387"/>
        <item x="575"/>
        <item x="532"/>
        <item x="335"/>
        <item x="71"/>
        <item x="151"/>
        <item x="250"/>
        <item x="518"/>
        <item x="386"/>
        <item x="135"/>
        <item x="560"/>
        <item x="591"/>
        <item x="103"/>
        <item x="464"/>
        <item x="396"/>
        <item x="1"/>
        <item x="286"/>
        <item x="401"/>
        <item x="326"/>
        <item x="221"/>
        <item x="424"/>
        <item x="475"/>
        <item x="39"/>
        <item x="400"/>
        <item x="559"/>
        <item x="537"/>
        <item x="249"/>
        <item x="21"/>
        <item x="385"/>
        <item x="248"/>
        <item x="562"/>
        <item x="431"/>
        <item x="460"/>
        <item x="553"/>
        <item x="371"/>
        <item x="356"/>
        <item x="170"/>
        <item x="274"/>
        <item x="273"/>
        <item x="486"/>
        <item x="315"/>
        <item x="477"/>
        <item x="423"/>
        <item x="492"/>
        <item x="239"/>
        <item x="485"/>
        <item x="238"/>
        <item x="196"/>
        <item x="0"/>
        <item x="195"/>
        <item x="57"/>
        <item x="567"/>
        <item x="306"/>
        <item x="376"/>
        <item x="150"/>
        <item x="159"/>
        <item x="314"/>
        <item x="453"/>
        <item x="411"/>
        <item x="263"/>
        <item x="370"/>
        <item x="463"/>
        <item x="185"/>
        <item x="118"/>
        <item x="369"/>
        <item x="56"/>
        <item x="468"/>
        <item x="586"/>
        <item x="566"/>
        <item x="85"/>
        <item x="102"/>
        <item x="134"/>
        <item x="361"/>
        <item x="452"/>
        <item x="262"/>
        <item x="355"/>
        <item x="20"/>
        <item x="410"/>
        <item x="536"/>
        <item x="395"/>
        <item x="360"/>
        <item x="601"/>
        <item x="70"/>
        <item x="526"/>
        <item x="325"/>
        <item x="55"/>
        <item x="474"/>
        <item x="578"/>
        <item x="491"/>
        <item x="305"/>
        <item x="430"/>
        <item x="544"/>
        <item x="577"/>
        <item x="158"/>
        <item x="38"/>
        <item x="543"/>
        <item x="517"/>
        <item x="552"/>
        <item x="295"/>
        <item x="237"/>
        <item x="597"/>
        <item x="596"/>
        <item x="574"/>
        <item x="37"/>
        <item x="473"/>
        <item x="133"/>
        <item x="149"/>
        <item x="549"/>
        <item x="117"/>
        <item x="600"/>
      </items>
    </pivotField>
    <pivotField dataField="1" showAll="0" defaultSubtotal="0">
      <items count="256">
        <item x="117"/>
        <item x="65"/>
        <item x="57"/>
        <item x="67"/>
        <item x="54"/>
        <item x="53"/>
        <item x="64"/>
        <item x="84"/>
        <item x="52"/>
        <item x="48"/>
        <item x="81"/>
        <item x="131"/>
        <item x="70"/>
        <item x="123"/>
        <item x="51"/>
        <item x="90"/>
        <item x="94"/>
        <item x="56"/>
        <item x="92"/>
        <item x="107"/>
        <item x="105"/>
        <item x="55"/>
        <item x="74"/>
        <item x="148"/>
        <item x="82"/>
        <item x="83"/>
        <item x="69"/>
        <item x="95"/>
        <item x="106"/>
        <item x="138"/>
        <item x="124"/>
        <item x="159"/>
        <item x="66"/>
        <item x="104"/>
        <item x="89"/>
        <item x="141"/>
        <item x="183"/>
        <item x="114"/>
        <item x="154"/>
        <item x="80"/>
        <item x="97"/>
        <item x="162"/>
        <item x="96"/>
        <item x="75"/>
        <item x="68"/>
        <item x="145"/>
        <item x="195"/>
        <item x="47"/>
        <item x="240"/>
        <item x="134"/>
        <item x="136"/>
        <item x="139"/>
        <item x="135"/>
        <item x="50"/>
        <item x="62"/>
        <item x="110"/>
        <item x="221"/>
        <item x="149"/>
        <item x="192"/>
        <item x="130"/>
        <item x="122"/>
        <item x="153"/>
        <item x="49"/>
        <item x="243"/>
        <item x="99"/>
        <item x="160"/>
        <item x="250"/>
        <item x="255"/>
        <item x="219"/>
        <item x="93"/>
        <item x="128"/>
        <item x="166"/>
        <item x="63"/>
        <item x="251"/>
        <item x="140"/>
        <item x="79"/>
        <item x="121"/>
        <item x="58"/>
        <item x="170"/>
        <item x="103"/>
        <item x="150"/>
        <item x="214"/>
        <item x="211"/>
        <item x="253"/>
        <item x="91"/>
        <item x="38"/>
        <item x="113"/>
        <item x="129"/>
        <item x="143"/>
        <item x="86"/>
        <item x="239"/>
        <item x="120"/>
        <item x="115"/>
        <item x="187"/>
        <item x="144"/>
        <item x="76"/>
        <item x="35"/>
        <item x="182"/>
        <item x="244"/>
        <item x="234"/>
        <item x="72"/>
        <item x="174"/>
        <item x="194"/>
        <item x="133"/>
        <item x="249"/>
        <item x="254"/>
        <item x="220"/>
        <item x="30"/>
        <item x="176"/>
        <item x="77"/>
        <item x="231"/>
        <item x="215"/>
        <item x="203"/>
        <item x="165"/>
        <item x="237"/>
        <item x="189"/>
        <item x="88"/>
        <item x="37"/>
        <item x="44"/>
        <item x="167"/>
        <item x="252"/>
        <item x="161"/>
        <item x="229"/>
        <item x="228"/>
        <item x="248"/>
        <item x="238"/>
        <item x="40"/>
        <item x="125"/>
        <item x="142"/>
        <item x="78"/>
        <item x="43"/>
        <item x="199"/>
        <item x="45"/>
        <item x="178"/>
        <item x="218"/>
        <item x="102"/>
        <item x="217"/>
        <item x="61"/>
        <item x="186"/>
        <item x="118"/>
        <item x="46"/>
        <item x="181"/>
        <item x="116"/>
        <item x="207"/>
        <item x="158"/>
        <item x="206"/>
        <item x="246"/>
        <item x="242"/>
        <item x="34"/>
        <item x="208"/>
        <item x="127"/>
        <item x="101"/>
        <item x="241"/>
        <item x="191"/>
        <item x="179"/>
        <item x="247"/>
        <item x="193"/>
        <item x="245"/>
        <item x="230"/>
        <item x="147"/>
        <item x="111"/>
        <item x="205"/>
        <item x="156"/>
        <item x="173"/>
        <item x="29"/>
        <item x="226"/>
        <item x="223"/>
        <item x="232"/>
        <item x="119"/>
        <item x="132"/>
        <item x="200"/>
        <item x="227"/>
        <item x="59"/>
        <item x="177"/>
        <item x="155"/>
        <item x="26"/>
        <item x="188"/>
        <item x="126"/>
        <item x="175"/>
        <item x="180"/>
        <item x="210"/>
        <item x="169"/>
        <item x="168"/>
        <item x="157"/>
        <item x="222"/>
        <item x="190"/>
        <item x="236"/>
        <item x="163"/>
        <item x="39"/>
        <item x="112"/>
        <item x="60"/>
        <item x="87"/>
        <item x="151"/>
        <item x="100"/>
        <item x="209"/>
        <item x="152"/>
        <item x="73"/>
        <item x="164"/>
        <item x="146"/>
        <item x="202"/>
        <item x="42"/>
        <item x="233"/>
        <item x="27"/>
        <item x="14"/>
        <item x="204"/>
        <item x="235"/>
        <item x="18"/>
        <item x="216"/>
        <item x="201"/>
        <item x="137"/>
        <item x="98"/>
        <item x="41"/>
        <item x="85"/>
        <item x="213"/>
        <item x="71"/>
        <item x="33"/>
        <item x="212"/>
        <item x="19"/>
        <item x="198"/>
        <item x="32"/>
        <item x="36"/>
        <item x="17"/>
        <item x="16"/>
        <item x="185"/>
        <item x="184"/>
        <item x="109"/>
        <item x="225"/>
        <item x="224"/>
        <item x="197"/>
        <item x="172"/>
        <item x="171"/>
        <item x="196"/>
        <item x="15"/>
        <item x="31"/>
        <item x="21"/>
        <item x="8"/>
        <item x="108"/>
        <item x="24"/>
        <item x="13"/>
        <item x="25"/>
        <item x="4"/>
        <item x="12"/>
        <item x="28"/>
        <item x="23"/>
        <item x="5"/>
        <item x="10"/>
        <item x="11"/>
        <item x="22"/>
        <item x="2"/>
        <item x="7"/>
        <item x="3"/>
        <item x="9"/>
        <item x="6"/>
        <item x="20"/>
        <item x="1"/>
        <item x="0"/>
      </items>
    </pivotField>
    <pivotField dataField="1" showAll="0" defaultSubtotal="0">
      <items count="698">
        <item x="135"/>
        <item x="306"/>
        <item x="64"/>
        <item x="133"/>
        <item x="57"/>
        <item x="564"/>
        <item x="151"/>
        <item x="320"/>
        <item x="251"/>
        <item x="159"/>
        <item x="462"/>
        <item x="127"/>
        <item x="102"/>
        <item x="54"/>
        <item x="136"/>
        <item x="392"/>
        <item x="67"/>
        <item x="134"/>
        <item x="391"/>
        <item x="53"/>
        <item x="482"/>
        <item x="577"/>
        <item x="85"/>
        <item x="115"/>
        <item x="69"/>
        <item x="38"/>
        <item x="224"/>
        <item x="87"/>
        <item x="167"/>
        <item x="109"/>
        <item x="35"/>
        <item x="291"/>
        <item x="263"/>
        <item x="14"/>
        <item x="338"/>
        <item x="52"/>
        <item x="30"/>
        <item x="276"/>
        <item x="18"/>
        <item x="452"/>
        <item x="48"/>
        <item x="37"/>
        <item x="148"/>
        <item x="84"/>
        <item x="190"/>
        <item x="247"/>
        <item x="307"/>
        <item x="131"/>
        <item x="160"/>
        <item x="357"/>
        <item x="19"/>
        <item x="128"/>
        <item x="250"/>
        <item x="290"/>
        <item x="121"/>
        <item x="145"/>
        <item x="34"/>
        <item x="390"/>
        <item x="563"/>
        <item x="17"/>
        <item x="337"/>
        <item x="178"/>
        <item x="16"/>
        <item x="262"/>
        <item x="571"/>
        <item x="519"/>
        <item x="51"/>
        <item x="29"/>
        <item x="94"/>
        <item x="376"/>
        <item x="113"/>
        <item x="585"/>
        <item x="99"/>
        <item x="206"/>
        <item x="239"/>
        <item x="181"/>
        <item x="507"/>
        <item x="82"/>
        <item x="26"/>
        <item x="328"/>
        <item x="194"/>
        <item x="116"/>
        <item x="56"/>
        <item x="97"/>
        <item x="288"/>
        <item x="371"/>
        <item x="259"/>
        <item x="423"/>
        <item x="72"/>
        <item x="39"/>
        <item x="147"/>
        <item x="119"/>
        <item x="223"/>
        <item x="402"/>
        <item x="15"/>
        <item x="200"/>
        <item x="117"/>
        <item x="80"/>
        <item x="172"/>
        <item x="229"/>
        <item x="76"/>
        <item x="55"/>
        <item x="401"/>
        <item x="71"/>
        <item x="161"/>
        <item x="459"/>
        <item x="129"/>
        <item x="527"/>
        <item x="292"/>
        <item x="562"/>
        <item x="199"/>
        <item x="27"/>
        <item x="438"/>
        <item x="272"/>
        <item x="480"/>
        <item x="370"/>
        <item x="86"/>
        <item x="494"/>
        <item x="355"/>
        <item x="248"/>
        <item x="412"/>
        <item x="169"/>
        <item x="429"/>
        <item x="196"/>
        <item x="238"/>
        <item x="202"/>
        <item x="120"/>
        <item x="8"/>
        <item x="498"/>
        <item x="375"/>
        <item x="203"/>
        <item x="175"/>
        <item x="221"/>
        <item x="363"/>
        <item x="414"/>
        <item x="293"/>
        <item x="118"/>
        <item x="403"/>
        <item x="284"/>
        <item x="654"/>
        <item x="289"/>
        <item x="234"/>
        <item x="163"/>
        <item x="528"/>
        <item x="319"/>
        <item x="632"/>
        <item x="187"/>
        <item x="552"/>
        <item x="214"/>
        <item x="543"/>
        <item x="101"/>
        <item x="162"/>
        <item x="377"/>
        <item x="236"/>
        <item x="479"/>
        <item x="345"/>
        <item x="189"/>
        <item x="456"/>
        <item x="622"/>
        <item x="334"/>
        <item x="317"/>
        <item x="93"/>
        <item x="112"/>
        <item x="13"/>
        <item x="504"/>
        <item x="576"/>
        <item x="448"/>
        <item x="33"/>
        <item x="593"/>
        <item x="249"/>
        <item x="150"/>
        <item x="228"/>
        <item x="497"/>
        <item x="215"/>
        <item x="275"/>
        <item x="325"/>
        <item x="4"/>
        <item x="685"/>
        <item x="32"/>
        <item x="323"/>
        <item x="473"/>
        <item x="83"/>
        <item x="427"/>
        <item x="594"/>
        <item x="336"/>
        <item x="12"/>
        <item x="103"/>
        <item x="36"/>
        <item x="389"/>
        <item x="302"/>
        <item x="478"/>
        <item x="311"/>
        <item x="70"/>
        <item x="222"/>
        <item x="149"/>
        <item x="100"/>
        <item x="526"/>
        <item x="233"/>
        <item x="77"/>
        <item x="501"/>
        <item x="341"/>
        <item x="356"/>
        <item x="481"/>
        <item x="184"/>
        <item x="204"/>
        <item x="624"/>
        <item x="362"/>
        <item x="534"/>
        <item x="638"/>
        <item x="413"/>
        <item x="195"/>
        <item x="274"/>
        <item x="318"/>
        <item x="422"/>
        <item x="518"/>
        <item x="606"/>
        <item x="631"/>
        <item x="428"/>
        <item x="146"/>
        <item x="397"/>
        <item x="604"/>
        <item x="266"/>
        <item x="298"/>
        <item x="260"/>
        <item x="213"/>
        <item x="316"/>
        <item x="551"/>
        <item x="47"/>
        <item x="434"/>
        <item x="177"/>
        <item x="523"/>
        <item x="191"/>
        <item x="65"/>
        <item x="237"/>
        <item x="364"/>
        <item x="633"/>
        <item x="668"/>
        <item x="683"/>
        <item x="240"/>
        <item x="599"/>
        <item x="331"/>
        <item x="126"/>
        <item x="268"/>
        <item x="681"/>
        <item x="510"/>
        <item x="584"/>
        <item x="313"/>
        <item x="209"/>
        <item x="5"/>
        <item x="50"/>
        <item x="346"/>
        <item x="573"/>
        <item x="208"/>
        <item x="450"/>
        <item x="472"/>
        <item x="583"/>
        <item x="616"/>
        <item x="130"/>
        <item x="630"/>
        <item x="660"/>
        <item x="600"/>
        <item x="524"/>
        <item x="674"/>
        <item x="470"/>
        <item x="212"/>
        <item x="398"/>
        <item x="679"/>
        <item x="312"/>
        <item x="653"/>
        <item x="381"/>
        <item x="669"/>
        <item x="433"/>
        <item x="333"/>
        <item x="536"/>
        <item x="10"/>
        <item x="322"/>
        <item x="373"/>
        <item x="451"/>
        <item x="281"/>
        <item x="634"/>
        <item x="304"/>
        <item x="548"/>
        <item x="442"/>
        <item x="515"/>
        <item x="261"/>
        <item x="235"/>
        <item x="640"/>
        <item x="588"/>
        <item x="49"/>
        <item x="697"/>
        <item x="560"/>
        <item x="388"/>
        <item x="171"/>
        <item x="496"/>
        <item x="372"/>
        <item x="105"/>
        <item x="31"/>
        <item x="542"/>
        <item x="270"/>
        <item x="659"/>
        <item x="183"/>
        <item x="590"/>
        <item x="410"/>
        <item x="486"/>
        <item x="385"/>
        <item x="98"/>
        <item x="374"/>
        <item x="218"/>
        <item x="68"/>
        <item x="575"/>
        <item x="299"/>
        <item x="471"/>
        <item x="569"/>
        <item x="687"/>
        <item x="400"/>
        <item x="179"/>
        <item x="386"/>
        <item x="675"/>
        <item x="384"/>
        <item x="556"/>
        <item x="273"/>
        <item x="352"/>
        <item x="342"/>
        <item x="615"/>
        <item x="421"/>
        <item x="581"/>
        <item x="81"/>
        <item x="11"/>
        <item x="305"/>
        <item x="420"/>
        <item x="258"/>
        <item x="279"/>
        <item x="460"/>
        <item x="168"/>
        <item x="621"/>
        <item x="432"/>
        <item x="677"/>
        <item x="286"/>
        <item x="645"/>
        <item x="488"/>
        <item x="540"/>
        <item x="461"/>
        <item x="561"/>
        <item x="271"/>
        <item x="686"/>
        <item x="535"/>
        <item x="21"/>
        <item x="230"/>
        <item x="111"/>
        <item x="419"/>
        <item x="454"/>
        <item x="449"/>
        <item x="570"/>
        <item x="144"/>
        <item x="314"/>
        <item x="96"/>
        <item x="525"/>
        <item x="441"/>
        <item x="217"/>
        <item x="327"/>
        <item x="567"/>
        <item x="180"/>
        <item x="589"/>
        <item x="62"/>
        <item x="176"/>
        <item x="283"/>
        <item x="643"/>
        <item x="114"/>
        <item x="285"/>
        <item x="661"/>
        <item x="625"/>
        <item x="193"/>
        <item x="89"/>
        <item x="620"/>
        <item x="666"/>
        <item x="207"/>
        <item x="613"/>
        <item x="549"/>
        <item x="182"/>
        <item x="440"/>
        <item x="517"/>
        <item x="690"/>
        <item x="297"/>
        <item x="469"/>
        <item x="558"/>
        <item x="353"/>
        <item x="2"/>
        <item x="406"/>
        <item x="7"/>
        <item x="158"/>
        <item x="605"/>
        <item x="315"/>
        <item x="301"/>
        <item x="430"/>
        <item x="287"/>
        <item x="132"/>
        <item x="694"/>
        <item x="411"/>
        <item x="649"/>
        <item x="188"/>
        <item x="256"/>
        <item x="344"/>
        <item x="399"/>
        <item x="592"/>
        <item x="74"/>
        <item x="477"/>
        <item x="91"/>
        <item x="387"/>
        <item x="466"/>
        <item x="269"/>
        <item x="492"/>
        <item x="350"/>
        <item x="219"/>
        <item x="409"/>
        <item x="559"/>
        <item x="655"/>
        <item x="467"/>
        <item x="267"/>
        <item x="232"/>
        <item x="24"/>
        <item x="143"/>
        <item x="574"/>
        <item x="672"/>
        <item x="446"/>
        <item x="245"/>
        <item x="680"/>
        <item x="382"/>
        <item x="3"/>
        <item x="326"/>
        <item x="367"/>
        <item x="514"/>
        <item x="380"/>
        <item x="361"/>
        <item x="25"/>
        <item x="495"/>
        <item x="457"/>
        <item x="408"/>
        <item x="156"/>
        <item x="280"/>
        <item x="582"/>
        <item x="124"/>
        <item x="568"/>
        <item x="349"/>
        <item x="63"/>
        <item x="522"/>
        <item x="78"/>
        <item x="673"/>
        <item x="95"/>
        <item x="108"/>
        <item x="509"/>
        <item x="418"/>
        <item x="170"/>
        <item x="533"/>
        <item x="303"/>
        <item x="383"/>
        <item x="9"/>
        <item x="368"/>
        <item x="684"/>
        <item x="396"/>
        <item x="475"/>
        <item x="508"/>
        <item x="254"/>
        <item x="6"/>
        <item x="544"/>
        <item x="431"/>
        <item x="58"/>
        <item x="282"/>
        <item x="92"/>
        <item x="610"/>
        <item x="359"/>
        <item x="201"/>
        <item x="407"/>
        <item x="354"/>
        <item x="140"/>
        <item x="487"/>
        <item x="465"/>
        <item x="335"/>
        <item x="141"/>
        <item x="639"/>
        <item x="591"/>
        <item x="503"/>
        <item x="696"/>
        <item x="426"/>
        <item x="44"/>
        <item x="369"/>
        <item x="142"/>
        <item x="597"/>
        <item x="587"/>
        <item x="300"/>
        <item x="541"/>
        <item x="324"/>
        <item x="502"/>
        <item x="66"/>
        <item x="79"/>
        <item x="157"/>
        <item x="343"/>
        <item x="439"/>
        <item x="28"/>
        <item x="417"/>
        <item x="192"/>
        <item x="205"/>
        <item x="40"/>
        <item x="468"/>
        <item x="447"/>
        <item x="255"/>
        <item x="220"/>
        <item x="244"/>
        <item x="644"/>
        <item x="598"/>
        <item x="658"/>
        <item x="43"/>
        <item x="678"/>
        <item x="646"/>
        <item x="652"/>
        <item x="45"/>
        <item x="511"/>
        <item x="493"/>
        <item x="557"/>
        <item x="110"/>
        <item x="667"/>
        <item x="614"/>
        <item x="445"/>
        <item x="550"/>
        <item x="155"/>
        <item x="437"/>
        <item x="628"/>
        <item x="693"/>
        <item x="23"/>
        <item x="125"/>
        <item x="555"/>
        <item x="458"/>
        <item x="216"/>
        <item x="231"/>
        <item x="629"/>
        <item x="46"/>
        <item x="602"/>
        <item x="332"/>
        <item x="665"/>
        <item x="516"/>
        <item x="257"/>
        <item x="296"/>
        <item x="485"/>
        <item x="691"/>
        <item x="578"/>
        <item x="664"/>
        <item x="513"/>
        <item x="547"/>
        <item x="360"/>
        <item x="537"/>
        <item x="506"/>
        <item x="107"/>
        <item x="612"/>
        <item x="243"/>
        <item x="246"/>
        <item x="405"/>
        <item x="351"/>
        <item x="532"/>
        <item x="692"/>
        <item x="165"/>
        <item x="227"/>
        <item x="521"/>
        <item x="393"/>
        <item x="608"/>
        <item x="476"/>
        <item x="586"/>
        <item x="137"/>
        <item x="152"/>
        <item x="490"/>
        <item x="662"/>
        <item x="539"/>
        <item x="611"/>
        <item x="671"/>
        <item x="663"/>
        <item x="603"/>
        <item x="295"/>
        <item x="637"/>
        <item x="308"/>
        <item x="682"/>
        <item x="657"/>
        <item x="565"/>
        <item x="436"/>
        <item x="607"/>
        <item x="358"/>
        <item x="61"/>
        <item x="566"/>
        <item x="348"/>
        <item x="491"/>
        <item x="580"/>
        <item x="309"/>
        <item x="619"/>
        <item x="596"/>
        <item x="531"/>
        <item x="546"/>
        <item x="166"/>
        <item x="310"/>
        <item x="347"/>
        <item x="90"/>
        <item x="416"/>
        <item x="688"/>
        <item x="425"/>
        <item x="636"/>
        <item x="340"/>
        <item x="415"/>
        <item x="154"/>
        <item x="294"/>
        <item x="538"/>
        <item x="404"/>
        <item x="106"/>
        <item x="75"/>
        <item x="642"/>
        <item x="512"/>
        <item x="579"/>
        <item x="464"/>
        <item x="618"/>
        <item x="395"/>
        <item x="651"/>
        <item x="139"/>
        <item x="22"/>
        <item x="455"/>
        <item x="435"/>
        <item x="656"/>
        <item x="1"/>
        <item x="394"/>
        <item x="647"/>
        <item x="226"/>
        <item x="529"/>
        <item x="278"/>
        <item x="444"/>
        <item x="42"/>
        <item x="601"/>
        <item x="572"/>
        <item x="321"/>
        <item x="277"/>
        <item x="463"/>
        <item x="650"/>
        <item x="366"/>
        <item x="595"/>
        <item x="627"/>
        <item x="623"/>
        <item x="500"/>
        <item x="211"/>
        <item x="670"/>
        <item x="453"/>
        <item x="174"/>
        <item x="520"/>
        <item x="689"/>
        <item x="186"/>
        <item x="648"/>
        <item x="489"/>
        <item x="225"/>
        <item x="609"/>
        <item x="676"/>
        <item x="499"/>
        <item x="330"/>
        <item x="553"/>
        <item x="0"/>
        <item x="59"/>
        <item x="265"/>
        <item x="443"/>
        <item x="545"/>
        <item x="483"/>
        <item x="617"/>
        <item x="424"/>
        <item x="626"/>
        <item x="554"/>
        <item x="379"/>
        <item x="253"/>
        <item x="329"/>
        <item x="264"/>
        <item x="252"/>
        <item x="138"/>
        <item x="505"/>
        <item x="153"/>
        <item x="474"/>
        <item x="378"/>
        <item x="339"/>
        <item x="210"/>
        <item x="365"/>
        <item x="123"/>
        <item x="241"/>
        <item x="530"/>
        <item x="197"/>
        <item x="173"/>
        <item x="484"/>
        <item x="198"/>
        <item x="60"/>
        <item x="641"/>
        <item x="104"/>
        <item x="242"/>
        <item x="88"/>
        <item x="73"/>
        <item x="635"/>
        <item x="41"/>
        <item x="20"/>
        <item x="164"/>
        <item x="185"/>
        <item x="695"/>
        <item x="122"/>
      </items>
    </pivotField>
    <pivotField dataField="1" showAll="0" defaultSubtotal="0">
      <items count="242">
        <item x="241"/>
        <item x="240"/>
        <item x="239"/>
        <item x="238"/>
        <item x="229"/>
        <item x="225"/>
        <item x="164"/>
        <item x="228"/>
        <item x="236"/>
        <item x="237"/>
        <item x="146"/>
        <item x="235"/>
        <item x="224"/>
        <item x="223"/>
        <item x="226"/>
        <item x="227"/>
        <item x="176"/>
        <item x="171"/>
        <item x="216"/>
        <item x="66"/>
        <item x="190"/>
        <item x="140"/>
        <item x="172"/>
        <item x="214"/>
        <item x="138"/>
        <item x="95"/>
        <item x="81"/>
        <item x="107"/>
        <item x="149"/>
        <item x="147"/>
        <item x="145"/>
        <item x="134"/>
        <item x="148"/>
        <item x="142"/>
        <item x="45"/>
        <item x="144"/>
        <item x="68"/>
        <item x="136"/>
        <item x="150"/>
        <item x="98"/>
        <item x="137"/>
        <item x="73"/>
        <item x="222"/>
        <item x="87"/>
        <item x="72"/>
        <item x="71"/>
        <item x="143"/>
        <item x="158"/>
        <item x="56"/>
        <item x="57"/>
        <item x="84"/>
        <item x="97"/>
        <item x="74"/>
        <item x="177"/>
        <item x="55"/>
        <item x="76"/>
        <item x="80"/>
        <item x="82"/>
        <item x="88"/>
        <item x="48"/>
        <item x="62"/>
        <item x="135"/>
        <item x="100"/>
        <item x="70"/>
        <item x="86"/>
        <item x="92"/>
        <item x="49"/>
        <item x="111"/>
        <item x="181"/>
        <item x="60"/>
        <item x="141"/>
        <item x="90"/>
        <item x="65"/>
        <item x="69"/>
        <item x="53"/>
        <item x="54"/>
        <item x="85"/>
        <item x="167"/>
        <item x="115"/>
        <item x="159"/>
        <item x="79"/>
        <item x="51"/>
        <item x="52"/>
        <item x="83"/>
        <item x="99"/>
        <item x="184"/>
        <item x="114"/>
        <item x="61"/>
        <item x="46"/>
        <item x="101"/>
        <item x="44"/>
        <item x="183"/>
        <item x="209"/>
        <item x="67"/>
        <item x="199"/>
        <item x="170"/>
        <item x="156"/>
        <item x="50"/>
        <item x="198"/>
        <item x="180"/>
        <item x="179"/>
        <item x="196"/>
        <item x="64"/>
        <item x="163"/>
        <item x="41"/>
        <item x="113"/>
        <item x="220"/>
        <item x="169"/>
        <item x="130"/>
        <item x="112"/>
        <item x="215"/>
        <item x="197"/>
        <item x="63"/>
        <item x="47"/>
        <item x="132"/>
        <item x="185"/>
        <item x="204"/>
        <item x="104"/>
        <item x="40"/>
        <item x="162"/>
        <item x="234"/>
        <item x="131"/>
        <item x="168"/>
        <item x="230"/>
        <item x="126"/>
        <item x="96"/>
        <item x="186"/>
        <item x="157"/>
        <item x="188"/>
        <item x="154"/>
        <item x="189"/>
        <item x="108"/>
        <item x="43"/>
        <item x="161"/>
        <item x="42"/>
        <item x="110"/>
        <item x="160"/>
        <item x="93"/>
        <item x="175"/>
        <item x="194"/>
        <item x="166"/>
        <item x="59"/>
        <item x="109"/>
        <item x="105"/>
        <item x="155"/>
        <item x="94"/>
        <item x="212"/>
        <item x="102"/>
        <item x="232"/>
        <item x="91"/>
        <item x="165"/>
        <item x="78"/>
        <item x="174"/>
        <item x="178"/>
        <item x="221"/>
        <item x="153"/>
        <item x="213"/>
        <item x="106"/>
        <item x="127"/>
        <item x="173"/>
        <item x="129"/>
        <item x="120"/>
        <item x="202"/>
        <item x="125"/>
        <item x="210"/>
        <item x="128"/>
        <item x="152"/>
        <item x="218"/>
        <item x="205"/>
        <item x="77"/>
        <item x="203"/>
        <item x="195"/>
        <item x="151"/>
        <item x="192"/>
        <item x="217"/>
        <item x="233"/>
        <item x="124"/>
        <item x="193"/>
        <item x="219"/>
        <item x="75"/>
        <item x="123"/>
        <item x="211"/>
        <item x="187"/>
        <item x="139"/>
        <item x="206"/>
        <item x="119"/>
        <item x="89"/>
        <item x="122"/>
        <item x="231"/>
        <item x="58"/>
        <item x="191"/>
        <item x="200"/>
        <item x="133"/>
        <item x="201"/>
        <item x="121"/>
        <item x="117"/>
        <item x="27"/>
        <item x="208"/>
        <item x="182"/>
        <item x="103"/>
        <item x="207"/>
        <item x="116"/>
        <item x="39"/>
        <item x="118"/>
        <item x="30"/>
        <item x="35"/>
        <item x="9"/>
        <item x="38"/>
        <item x="24"/>
        <item x="37"/>
        <item x="32"/>
        <item x="31"/>
        <item x="36"/>
        <item x="22"/>
        <item x="33"/>
        <item x="34"/>
        <item x="20"/>
        <item x="29"/>
        <item x="23"/>
        <item x="11"/>
        <item x="28"/>
        <item x="26"/>
        <item x="25"/>
        <item x="6"/>
        <item x="13"/>
        <item x="12"/>
        <item x="19"/>
        <item x="15"/>
        <item x="17"/>
        <item x="16"/>
        <item x="18"/>
        <item x="7"/>
        <item x="10"/>
        <item x="1"/>
        <item x="14"/>
        <item x="0"/>
        <item x="3"/>
        <item x="21"/>
        <item x="5"/>
        <item x="8"/>
        <item x="4"/>
        <item x="2"/>
      </items>
    </pivotField>
    <pivotField dataField="1" showAll="0" defaultSubtotal="0">
      <items count="592">
        <item x="562"/>
        <item x="483"/>
        <item x="528"/>
        <item x="188"/>
        <item x="549"/>
        <item x="410"/>
        <item x="290"/>
        <item x="535"/>
        <item x="375"/>
        <item x="496"/>
        <item x="558"/>
        <item x="521"/>
        <item x="348"/>
        <item x="447"/>
        <item x="390"/>
        <item x="399"/>
        <item x="504"/>
        <item x="511"/>
        <item x="365"/>
        <item x="572"/>
        <item x="344"/>
        <item x="334"/>
        <item x="529"/>
        <item x="427"/>
        <item x="489"/>
        <item x="216"/>
        <item x="277"/>
        <item x="104"/>
        <item x="161"/>
        <item x="123"/>
        <item x="280"/>
        <item x="354"/>
        <item x="512"/>
        <item x="62"/>
        <item x="9"/>
        <item x="89"/>
        <item x="533"/>
        <item x="441"/>
        <item x="196"/>
        <item x="325"/>
        <item x="261"/>
        <item x="25"/>
        <item x="347"/>
        <item x="564"/>
        <item x="501"/>
        <item x="258"/>
        <item x="175"/>
        <item x="247"/>
        <item x="392"/>
        <item x="459"/>
        <item x="384"/>
        <item x="488"/>
        <item x="76"/>
        <item x="370"/>
        <item x="230"/>
        <item x="200"/>
        <item x="553"/>
        <item x="291"/>
        <item x="239"/>
        <item x="538"/>
        <item x="480"/>
        <item x="454"/>
        <item x="415"/>
        <item x="270"/>
        <item x="433"/>
        <item x="189"/>
        <item x="303"/>
        <item x="418"/>
        <item x="470"/>
        <item x="318"/>
        <item x="41"/>
        <item x="152"/>
        <item x="92"/>
        <item x="143"/>
        <item x="222"/>
        <item x="292"/>
        <item x="403"/>
        <item x="417"/>
        <item x="442"/>
        <item x="328"/>
        <item x="305"/>
        <item x="125"/>
        <item x="147"/>
        <item x="142"/>
        <item x="316"/>
        <item x="498"/>
        <item x="522"/>
        <item x="78"/>
        <item x="269"/>
        <item x="435"/>
        <item x="209"/>
        <item x="178"/>
        <item x="64"/>
        <item x="428"/>
        <item x="397"/>
        <item x="332"/>
        <item x="278"/>
        <item x="173"/>
        <item x="163"/>
        <item x="307"/>
        <item x="198"/>
        <item x="176"/>
        <item x="238"/>
        <item x="249"/>
        <item x="294"/>
        <item x="279"/>
        <item x="28"/>
        <item x="134"/>
        <item x="91"/>
        <item x="338"/>
        <item x="98"/>
        <item x="385"/>
        <item x="69"/>
        <item x="455"/>
        <item x="82"/>
        <item x="127"/>
        <item x="51"/>
        <item x="293"/>
        <item x="434"/>
        <item x="271"/>
        <item x="52"/>
        <item x="111"/>
        <item x="32"/>
        <item x="422"/>
        <item x="107"/>
        <item x="129"/>
        <item x="68"/>
        <item x="95"/>
        <item x="179"/>
        <item x="302"/>
        <item x="11"/>
        <item x="210"/>
        <item x="34"/>
        <item x="523"/>
        <item x="389"/>
        <item x="128"/>
        <item x="252"/>
        <item x="508"/>
        <item x="50"/>
        <item x="140"/>
        <item x="460"/>
        <item x="207"/>
        <item x="80"/>
        <item x="96"/>
        <item x="304"/>
        <item x="199"/>
        <item x="319"/>
        <item x="70"/>
        <item x="357"/>
        <item x="223"/>
        <item x="524"/>
        <item x="71"/>
        <item x="6"/>
        <item x="268"/>
        <item x="13"/>
        <item x="112"/>
        <item x="141"/>
        <item x="190"/>
        <item x="44"/>
        <item x="12"/>
        <item x="306"/>
        <item x="311"/>
        <item x="251"/>
        <item x="322"/>
        <item x="19"/>
        <item x="126"/>
        <item x="153"/>
        <item x="158"/>
        <item x="75"/>
        <item x="329"/>
        <item x="15"/>
        <item x="282"/>
        <item x="30"/>
        <item x="85"/>
        <item x="337"/>
        <item x="83"/>
        <item x="246"/>
        <item x="94"/>
        <item x="135"/>
        <item x="148"/>
        <item x="226"/>
        <item x="17"/>
        <item x="16"/>
        <item x="317"/>
        <item x="45"/>
        <item x="327"/>
        <item x="220"/>
        <item x="29"/>
        <item x="208"/>
        <item x="412"/>
        <item x="248"/>
        <item x="18"/>
        <item x="376"/>
        <item x="58"/>
        <item x="221"/>
        <item x="7"/>
        <item x="105"/>
        <item x="10"/>
        <item x="520"/>
        <item x="33"/>
        <item x="81"/>
        <item x="259"/>
        <item x="543"/>
        <item x="187"/>
        <item x="156"/>
        <item x="250"/>
        <item x="300"/>
        <item x="67"/>
        <item x="481"/>
        <item x="260"/>
        <item x="177"/>
        <item x="201"/>
        <item x="145"/>
        <item x="48"/>
        <item x="443"/>
        <item x="93"/>
        <item x="49"/>
        <item x="377"/>
        <item x="219"/>
        <item x="356"/>
        <item x="137"/>
        <item x="411"/>
        <item x="364"/>
        <item x="502"/>
        <item x="151"/>
        <item x="164"/>
        <item x="432"/>
        <item x="400"/>
        <item x="429"/>
        <item x="206"/>
        <item x="56"/>
        <item x="97"/>
        <item x="241"/>
        <item x="315"/>
        <item x="580"/>
        <item x="262"/>
        <item x="1"/>
        <item x="234"/>
        <item x="47"/>
        <item x="122"/>
        <item x="14"/>
        <item x="31"/>
        <item x="0"/>
        <item x="61"/>
        <item x="117"/>
        <item x="110"/>
        <item x="346"/>
        <item x="66"/>
        <item x="266"/>
        <item x="487"/>
        <item x="237"/>
        <item x="65"/>
        <item x="383"/>
        <item x="374"/>
        <item x="227"/>
        <item x="124"/>
        <item x="272"/>
        <item x="139"/>
        <item x="42"/>
        <item x="296"/>
        <item x="569"/>
        <item x="100"/>
        <item x="171"/>
        <item x="138"/>
        <item x="109"/>
        <item x="40"/>
        <item x="534"/>
        <item x="493"/>
        <item x="289"/>
        <item x="244"/>
        <item x="79"/>
        <item x="86"/>
        <item x="211"/>
        <item x="359"/>
        <item x="257"/>
        <item x="131"/>
        <item x="154"/>
        <item x="587"/>
        <item x="308"/>
        <item x="184"/>
        <item x="20"/>
        <item x="436"/>
        <item x="471"/>
        <item x="235"/>
        <item x="46"/>
        <item x="168"/>
        <item x="236"/>
        <item x="162"/>
        <item x="386"/>
        <item x="295"/>
        <item x="185"/>
        <item x="358"/>
        <item x="314"/>
        <item x="57"/>
        <item x="462"/>
        <item x="355"/>
        <item x="518"/>
        <item x="133"/>
        <item x="121"/>
        <item x="106"/>
        <item x="500"/>
        <item x="159"/>
        <item x="548"/>
        <item x="108"/>
        <item x="55"/>
        <item x="416"/>
        <item x="229"/>
        <item x="192"/>
        <item x="37"/>
        <item x="225"/>
        <item x="174"/>
        <item x="63"/>
        <item x="27"/>
        <item x="577"/>
        <item x="326"/>
        <item x="22"/>
        <item x="426"/>
        <item x="186"/>
        <item x="473"/>
        <item x="391"/>
        <item x="421"/>
        <item x="563"/>
        <item x="218"/>
        <item x="228"/>
        <item x="497"/>
        <item x="217"/>
        <item x="120"/>
        <item x="532"/>
        <item x="367"/>
        <item x="448"/>
        <item x="90"/>
        <item x="160"/>
        <item x="102"/>
        <item x="43"/>
        <item x="283"/>
        <item x="336"/>
        <item x="505"/>
        <item x="584"/>
        <item x="60"/>
        <item x="382"/>
        <item x="393"/>
        <item x="482"/>
        <item x="451"/>
        <item x="36"/>
        <item x="132"/>
        <item x="409"/>
        <item x="197"/>
        <item x="340"/>
        <item x="136"/>
        <item x="490"/>
        <item x="458"/>
        <item x="369"/>
        <item x="172"/>
        <item x="3"/>
        <item x="26"/>
        <item x="150"/>
        <item x="362"/>
        <item x="169"/>
        <item x="288"/>
        <item x="351"/>
        <item x="24"/>
        <item x="149"/>
        <item x="468"/>
        <item x="101"/>
        <item x="146"/>
        <item x="116"/>
        <item x="313"/>
        <item x="195"/>
        <item x="287"/>
        <item x="88"/>
        <item x="59"/>
        <item x="463"/>
        <item x="119"/>
        <item x="23"/>
        <item x="353"/>
        <item x="408"/>
        <item x="398"/>
        <item x="407"/>
        <item x="573"/>
        <item x="343"/>
        <item x="568"/>
        <item x="286"/>
        <item x="464"/>
        <item x="298"/>
        <item x="39"/>
        <item x="345"/>
        <item x="103"/>
        <item x="350"/>
        <item x="559"/>
        <item x="38"/>
        <item x="586"/>
        <item x="255"/>
        <item x="380"/>
        <item x="232"/>
        <item x="582"/>
        <item x="405"/>
        <item x="5"/>
        <item x="509"/>
        <item x="476"/>
        <item x="339"/>
        <item x="170"/>
        <item x="8"/>
        <item x="256"/>
        <item x="194"/>
        <item x="267"/>
        <item x="373"/>
        <item x="276"/>
        <item x="527"/>
        <item x="479"/>
        <item x="372"/>
        <item x="87"/>
        <item x="118"/>
        <item x="183"/>
        <item x="77"/>
        <item x="114"/>
        <item x="540"/>
        <item x="539"/>
        <item x="324"/>
        <item x="323"/>
        <item x="265"/>
        <item x="552"/>
        <item x="425"/>
        <item x="530"/>
        <item x="233"/>
        <item x="413"/>
        <item x="352"/>
        <item x="285"/>
        <item x="320"/>
        <item x="157"/>
        <item x="402"/>
        <item x="395"/>
        <item x="510"/>
        <item x="335"/>
        <item x="215"/>
        <item x="494"/>
        <item x="453"/>
        <item x="444"/>
        <item x="566"/>
        <item x="486"/>
        <item x="167"/>
        <item x="333"/>
        <item x="555"/>
        <item x="245"/>
        <item x="273"/>
        <item x="570"/>
        <item x="193"/>
        <item x="231"/>
        <item x="275"/>
        <item x="475"/>
        <item x="388"/>
        <item x="567"/>
        <item x="312"/>
        <item x="394"/>
        <item x="363"/>
        <item x="54"/>
        <item x="242"/>
        <item x="525"/>
        <item x="466"/>
        <item x="430"/>
        <item x="181"/>
        <item x="243"/>
        <item x="182"/>
        <item x="579"/>
        <item x="437"/>
        <item x="590"/>
        <item x="301"/>
        <item x="180"/>
        <item x="519"/>
        <item x="575"/>
        <item x="4"/>
        <item x="469"/>
        <item x="404"/>
        <item x="495"/>
        <item x="205"/>
        <item x="310"/>
        <item x="74"/>
        <item x="387"/>
        <item x="166"/>
        <item x="368"/>
        <item x="214"/>
        <item x="537"/>
        <item x="113"/>
        <item x="583"/>
        <item x="576"/>
        <item x="284"/>
        <item x="542"/>
        <item x="253"/>
        <item x="191"/>
        <item x="557"/>
        <item x="485"/>
        <item x="341"/>
        <item x="467"/>
        <item x="381"/>
        <item x="213"/>
        <item x="526"/>
        <item x="165"/>
        <item x="204"/>
        <item x="330"/>
        <item x="503"/>
        <item x="424"/>
        <item x="541"/>
        <item x="452"/>
        <item x="547"/>
        <item x="274"/>
        <item x="331"/>
        <item x="457"/>
        <item x="212"/>
        <item x="203"/>
        <item x="492"/>
        <item x="406"/>
        <item x="456"/>
        <item x="396"/>
        <item x="515"/>
        <item x="446"/>
        <item x="342"/>
        <item x="254"/>
        <item x="556"/>
        <item x="297"/>
        <item x="544"/>
        <item x="73"/>
        <item x="440"/>
        <item x="360"/>
        <item x="550"/>
        <item x="491"/>
        <item x="263"/>
        <item x="378"/>
        <item x="414"/>
        <item x="202"/>
        <item x="401"/>
        <item x="449"/>
        <item x="514"/>
        <item x="309"/>
        <item x="264"/>
        <item x="499"/>
        <item x="574"/>
        <item x="560"/>
        <item x="379"/>
        <item x="506"/>
        <item x="299"/>
        <item x="2"/>
        <item x="423"/>
        <item x="431"/>
        <item x="361"/>
        <item x="321"/>
        <item x="155"/>
        <item x="484"/>
        <item x="366"/>
        <item x="465"/>
        <item x="349"/>
        <item x="420"/>
        <item x="474"/>
        <item x="536"/>
        <item x="84"/>
        <item x="554"/>
        <item x="371"/>
        <item x="438"/>
        <item x="72"/>
        <item x="517"/>
        <item x="445"/>
        <item x="516"/>
        <item x="513"/>
        <item x="99"/>
        <item x="115"/>
        <item x="546"/>
        <item x="507"/>
        <item x="531"/>
        <item x="450"/>
        <item x="439"/>
        <item x="472"/>
        <item x="21"/>
        <item x="551"/>
        <item x="477"/>
        <item x="581"/>
        <item x="281"/>
        <item x="561"/>
        <item x="565"/>
        <item x="240"/>
        <item x="578"/>
        <item x="588"/>
        <item x="545"/>
        <item x="53"/>
        <item x="478"/>
        <item x="419"/>
        <item x="461"/>
        <item x="571"/>
        <item x="585"/>
        <item x="224"/>
        <item x="591"/>
        <item x="35"/>
        <item x="130"/>
        <item x="144"/>
        <item x="589"/>
      </items>
    </pivotField>
    <pivotField dataField="1" showAll="0" defaultSubtotal="0">
      <items count="12">
        <item x="7"/>
        <item x="1"/>
        <item x="4"/>
        <item x="3"/>
        <item x="10"/>
        <item x="9"/>
        <item x="0"/>
        <item x="11"/>
        <item x="6"/>
        <item x="8"/>
        <item x="2"/>
        <item x="5"/>
      </items>
    </pivotField>
  </pivotFields>
  <rowFields count="3">
    <field x="2"/>
    <field x="6"/>
    <field x="5"/>
  </rowFields>
  <rowItems count="1604">
    <i>
      <x/>
    </i>
    <i r="1">
      <x/>
      <x v="42"/>
    </i>
    <i r="1">
      <x v="1"/>
      <x v="44"/>
    </i>
    <i r="1">
      <x v="2"/>
      <x v="37"/>
    </i>
    <i r="1">
      <x v="3"/>
      <x v="33"/>
    </i>
    <i r="1">
      <x v="4"/>
      <x/>
    </i>
    <i r="1">
      <x v="5"/>
      <x v="1"/>
    </i>
    <i r="1">
      <x v="6"/>
      <x v="47"/>
    </i>
    <i r="1">
      <x v="7"/>
      <x v="39"/>
    </i>
    <i r="1">
      <x v="8"/>
      <x v="2"/>
    </i>
    <i r="1">
      <x v="9"/>
      <x v="48"/>
    </i>
    <i r="1">
      <x v="10"/>
      <x v="32"/>
    </i>
    <i r="1">
      <x v="11"/>
      <x v="31"/>
    </i>
    <i r="1">
      <x v="12"/>
      <x v="30"/>
    </i>
    <i r="1">
      <x v="13"/>
      <x v="40"/>
    </i>
    <i r="1">
      <x v="14"/>
      <x v="28"/>
    </i>
    <i r="1">
      <x v="15"/>
      <x v="13"/>
    </i>
    <i r="1">
      <x v="16"/>
      <x v="15"/>
    </i>
    <i r="1">
      <x v="17"/>
      <x v="29"/>
    </i>
    <i r="1">
      <x v="18"/>
      <x v="27"/>
    </i>
    <i r="1">
      <x v="19"/>
      <x v="36"/>
    </i>
    <i t="blank">
      <x/>
    </i>
    <i>
      <x v="1"/>
    </i>
    <i r="1">
      <x/>
      <x v="42"/>
    </i>
    <i r="1">
      <x v="1"/>
      <x v="37"/>
    </i>
    <i r="1">
      <x v="2"/>
      <x v="44"/>
    </i>
    <i r="1">
      <x v="3"/>
      <x v="39"/>
    </i>
    <i r="1">
      <x v="4"/>
      <x v="33"/>
    </i>
    <i r="1">
      <x v="5"/>
      <x v="47"/>
    </i>
    <i r="1">
      <x v="6"/>
      <x v="2"/>
    </i>
    <i r="1">
      <x v="7"/>
      <x v="1"/>
    </i>
    <i r="1">
      <x v="8"/>
      <x v="48"/>
    </i>
    <i r="1">
      <x v="9"/>
      <x/>
    </i>
    <i r="1">
      <x v="10"/>
      <x v="28"/>
    </i>
    <i r="1">
      <x v="11"/>
      <x v="31"/>
    </i>
    <i r="1">
      <x v="12"/>
      <x v="30"/>
    </i>
    <i r="1">
      <x v="13"/>
      <x v="40"/>
    </i>
    <i r="1">
      <x v="14"/>
      <x v="29"/>
    </i>
    <i r="1">
      <x v="15"/>
      <x v="27"/>
    </i>
    <i r="1">
      <x v="16"/>
      <x v="32"/>
    </i>
    <i r="1">
      <x v="17"/>
      <x v="36"/>
    </i>
    <i r="1">
      <x v="18"/>
      <x v="54"/>
    </i>
    <i r="1">
      <x v="19"/>
      <x v="13"/>
    </i>
    <i t="blank">
      <x v="1"/>
    </i>
    <i>
      <x v="2"/>
    </i>
    <i r="1">
      <x/>
      <x v="37"/>
    </i>
    <i r="1">
      <x v="1"/>
      <x v="42"/>
    </i>
    <i r="1">
      <x v="2"/>
      <x v="44"/>
    </i>
    <i r="1">
      <x v="3"/>
      <x v="39"/>
    </i>
    <i r="1">
      <x v="4"/>
      <x v="33"/>
    </i>
    <i r="1">
      <x v="5"/>
      <x v="47"/>
    </i>
    <i r="1">
      <x v="6"/>
      <x v="48"/>
    </i>
    <i r="1">
      <x v="7"/>
      <x v="40"/>
    </i>
    <i r="1">
      <x v="8"/>
      <x v="36"/>
    </i>
    <i r="1">
      <x v="9"/>
      <x v="31"/>
    </i>
    <i r="1">
      <x v="10"/>
      <x v="30"/>
    </i>
    <i r="1">
      <x v="11"/>
      <x v="29"/>
    </i>
    <i r="1">
      <x v="12"/>
      <x v="1"/>
    </i>
    <i r="1">
      <x v="13"/>
      <x/>
    </i>
    <i r="2">
      <x v="28"/>
    </i>
    <i r="1">
      <x v="15"/>
      <x v="2"/>
    </i>
    <i r="1">
      <x v="16"/>
      <x v="54"/>
    </i>
    <i r="1">
      <x v="17"/>
      <x v="45"/>
    </i>
    <i r="1">
      <x v="18"/>
      <x v="32"/>
    </i>
    <i r="1">
      <x v="19"/>
      <x v="27"/>
    </i>
    <i r="2">
      <x v="49"/>
    </i>
    <i t="blank">
      <x v="2"/>
    </i>
    <i>
      <x v="3"/>
    </i>
    <i r="1">
      <x/>
      <x v="37"/>
    </i>
    <i r="1">
      <x v="1"/>
      <x v="39"/>
    </i>
    <i r="1">
      <x v="2"/>
      <x v="42"/>
    </i>
    <i r="1">
      <x v="3"/>
      <x v="44"/>
    </i>
    <i r="1">
      <x v="4"/>
      <x v="33"/>
    </i>
    <i r="1">
      <x v="5"/>
      <x v="47"/>
    </i>
    <i r="1">
      <x v="6"/>
      <x v="36"/>
    </i>
    <i r="1">
      <x v="7"/>
      <x v="28"/>
    </i>
    <i r="2">
      <x v="40"/>
    </i>
    <i r="2">
      <x v="48"/>
    </i>
    <i r="1">
      <x v="10"/>
      <x v="29"/>
    </i>
    <i r="1">
      <x v="11"/>
      <x/>
    </i>
    <i r="1">
      <x v="12"/>
      <x v="31"/>
    </i>
    <i r="1">
      <x v="13"/>
      <x v="27"/>
    </i>
    <i r="2">
      <x v="54"/>
    </i>
    <i r="1">
      <x v="15"/>
      <x v="2"/>
    </i>
    <i r="2">
      <x v="30"/>
    </i>
    <i r="1">
      <x v="17"/>
      <x v="45"/>
    </i>
    <i r="1">
      <x v="18"/>
      <x v="8"/>
    </i>
    <i r="1">
      <x v="19"/>
      <x v="1"/>
    </i>
    <i t="blank">
      <x v="3"/>
    </i>
    <i>
      <x v="4"/>
    </i>
    <i r="1">
      <x/>
      <x v="42"/>
    </i>
    <i r="1">
      <x v="1"/>
      <x v="37"/>
    </i>
    <i r="1">
      <x v="2"/>
      <x v="44"/>
    </i>
    <i r="1">
      <x v="3"/>
      <x v="2"/>
    </i>
    <i r="1">
      <x v="4"/>
      <x v="1"/>
    </i>
    <i r="1">
      <x v="5"/>
      <x v="33"/>
    </i>
    <i r="1">
      <x v="6"/>
      <x v="39"/>
    </i>
    <i r="1">
      <x v="7"/>
      <x v="48"/>
    </i>
    <i r="1">
      <x v="8"/>
      <x/>
    </i>
    <i r="1">
      <x v="9"/>
      <x v="31"/>
    </i>
    <i r="1">
      <x v="10"/>
      <x v="47"/>
    </i>
    <i r="1">
      <x v="11"/>
      <x v="29"/>
    </i>
    <i r="1">
      <x v="12"/>
      <x v="40"/>
    </i>
    <i r="1">
      <x v="13"/>
      <x v="32"/>
    </i>
    <i r="1">
      <x v="14"/>
      <x v="28"/>
    </i>
    <i r="1">
      <x v="15"/>
      <x v="8"/>
    </i>
    <i r="1">
      <x v="16"/>
      <x v="27"/>
    </i>
    <i r="1">
      <x v="17"/>
      <x v="45"/>
    </i>
    <i r="1">
      <x v="18"/>
      <x v="36"/>
    </i>
    <i r="1">
      <x v="19"/>
      <x v="49"/>
    </i>
    <i t="blank">
      <x v="4"/>
    </i>
    <i>
      <x v="5"/>
    </i>
    <i r="1">
      <x/>
      <x v="42"/>
    </i>
    <i r="1">
      <x v="1"/>
      <x v="37"/>
    </i>
    <i r="1">
      <x v="2"/>
      <x v="44"/>
    </i>
    <i r="1">
      <x v="3"/>
      <x v="33"/>
    </i>
    <i r="1">
      <x v="4"/>
      <x v="2"/>
    </i>
    <i r="1">
      <x v="5"/>
      <x v="39"/>
    </i>
    <i r="1">
      <x v="6"/>
      <x v="1"/>
    </i>
    <i r="1">
      <x v="7"/>
      <x/>
    </i>
    <i r="1">
      <x v="8"/>
      <x v="48"/>
    </i>
    <i r="1">
      <x v="9"/>
      <x v="28"/>
    </i>
    <i r="1">
      <x v="10"/>
      <x v="47"/>
    </i>
    <i r="1">
      <x v="11"/>
      <x v="29"/>
    </i>
    <i r="1">
      <x v="12"/>
      <x v="31"/>
    </i>
    <i r="1">
      <x v="13"/>
      <x v="26"/>
    </i>
    <i r="1">
      <x v="14"/>
      <x v="8"/>
    </i>
    <i r="2">
      <x v="30"/>
    </i>
    <i r="1">
      <x v="16"/>
      <x v="13"/>
    </i>
    <i r="1">
      <x v="17"/>
      <x v="40"/>
    </i>
    <i r="1">
      <x v="18"/>
      <x v="27"/>
    </i>
    <i r="1">
      <x v="19"/>
      <x v="32"/>
    </i>
    <i t="blank">
      <x v="5"/>
    </i>
    <i>
      <x v="6"/>
    </i>
    <i r="1">
      <x/>
      <x v="42"/>
    </i>
    <i r="1">
      <x v="1"/>
      <x v="37"/>
    </i>
    <i r="1">
      <x v="2"/>
      <x v="44"/>
    </i>
    <i r="1">
      <x v="3"/>
      <x v="39"/>
    </i>
    <i r="1">
      <x v="4"/>
      <x v="33"/>
    </i>
    <i r="1">
      <x v="5"/>
      <x v="28"/>
    </i>
    <i r="1">
      <x v="6"/>
      <x v="48"/>
    </i>
    <i r="1">
      <x v="7"/>
      <x v="31"/>
    </i>
    <i r="1">
      <x v="8"/>
      <x v="30"/>
    </i>
    <i r="1">
      <x v="9"/>
      <x v="2"/>
    </i>
    <i r="1">
      <x v="10"/>
      <x v="1"/>
    </i>
    <i r="2">
      <x v="47"/>
    </i>
    <i r="1">
      <x v="12"/>
      <x v="27"/>
    </i>
    <i r="1">
      <x v="13"/>
      <x v="29"/>
    </i>
    <i r="1">
      <x v="14"/>
      <x/>
    </i>
    <i r="1">
      <x v="15"/>
      <x v="54"/>
    </i>
    <i r="1">
      <x v="16"/>
      <x v="26"/>
    </i>
    <i r="1">
      <x v="17"/>
      <x v="45"/>
    </i>
    <i r="1">
      <x v="18"/>
      <x v="40"/>
    </i>
    <i r="1">
      <x v="19"/>
      <x v="36"/>
    </i>
    <i t="blank">
      <x v="6"/>
    </i>
    <i>
      <x v="7"/>
    </i>
    <i r="1">
      <x/>
      <x v="42"/>
    </i>
    <i r="1">
      <x v="1"/>
      <x v="39"/>
    </i>
    <i r="1">
      <x v="2"/>
      <x v="37"/>
    </i>
    <i r="1">
      <x v="3"/>
      <x v="33"/>
    </i>
    <i r="1">
      <x v="4"/>
      <x v="44"/>
    </i>
    <i r="1">
      <x v="5"/>
      <x v="30"/>
    </i>
    <i r="1">
      <x v="6"/>
      <x v="28"/>
    </i>
    <i r="1">
      <x v="7"/>
      <x v="27"/>
    </i>
    <i r="1">
      <x v="8"/>
      <x v="29"/>
    </i>
    <i r="1">
      <x v="9"/>
      <x v="40"/>
    </i>
    <i r="1">
      <x v="10"/>
      <x v="47"/>
    </i>
    <i r="1">
      <x v="11"/>
      <x v="54"/>
    </i>
    <i r="1">
      <x v="12"/>
      <x v="48"/>
    </i>
    <i r="1">
      <x v="13"/>
      <x v="20"/>
    </i>
    <i r="1">
      <x v="14"/>
      <x v="36"/>
    </i>
    <i r="1">
      <x v="15"/>
      <x v="31"/>
    </i>
    <i r="1">
      <x v="16"/>
      <x/>
    </i>
    <i r="1">
      <x v="17"/>
      <x v="45"/>
    </i>
    <i r="1">
      <x v="18"/>
      <x v="35"/>
    </i>
    <i r="1">
      <x v="19"/>
      <x v="1"/>
    </i>
    <i t="blank">
      <x v="7"/>
    </i>
    <i>
      <x v="8"/>
    </i>
    <i r="1">
      <x/>
      <x v="37"/>
    </i>
    <i r="1">
      <x v="1"/>
      <x v="42"/>
    </i>
    <i r="1">
      <x v="2"/>
      <x v="44"/>
    </i>
    <i r="1">
      <x v="3"/>
      <x v="33"/>
    </i>
    <i r="1">
      <x v="4"/>
      <x v="39"/>
    </i>
    <i r="1">
      <x v="5"/>
      <x v="48"/>
    </i>
    <i r="1">
      <x v="6"/>
      <x v="47"/>
    </i>
    <i r="1">
      <x v="7"/>
      <x v="31"/>
    </i>
    <i r="1">
      <x v="8"/>
      <x/>
    </i>
    <i r="1">
      <x v="9"/>
      <x v="40"/>
    </i>
    <i r="1">
      <x v="10"/>
      <x v="36"/>
    </i>
    <i r="1">
      <x v="11"/>
      <x v="28"/>
    </i>
    <i r="1">
      <x v="12"/>
      <x v="1"/>
    </i>
    <i r="1">
      <x v="13"/>
      <x v="2"/>
    </i>
    <i r="1">
      <x v="14"/>
      <x v="29"/>
    </i>
    <i r="1">
      <x v="15"/>
      <x v="30"/>
    </i>
    <i r="1">
      <x v="16"/>
      <x v="8"/>
    </i>
    <i r="1">
      <x v="17"/>
      <x v="32"/>
    </i>
    <i r="1">
      <x v="18"/>
      <x v="27"/>
    </i>
    <i r="1">
      <x v="19"/>
      <x v="45"/>
    </i>
    <i t="blank">
      <x v="8"/>
    </i>
    <i>
      <x v="9"/>
    </i>
    <i r="1">
      <x/>
      <x v="37"/>
    </i>
    <i r="1">
      <x v="1"/>
      <x v="42"/>
    </i>
    <i r="1">
      <x v="2"/>
      <x v="44"/>
    </i>
    <i r="1">
      <x v="3"/>
      <x v="47"/>
    </i>
    <i r="1">
      <x v="4"/>
      <x v="33"/>
    </i>
    <i r="1">
      <x v="5"/>
      <x v="39"/>
    </i>
    <i r="1">
      <x v="6"/>
      <x v="48"/>
    </i>
    <i r="1">
      <x v="7"/>
      <x v="31"/>
    </i>
    <i r="1">
      <x v="8"/>
      <x/>
    </i>
    <i r="1">
      <x v="9"/>
      <x v="2"/>
    </i>
    <i r="1">
      <x v="10"/>
      <x v="1"/>
    </i>
    <i r="1">
      <x v="11"/>
      <x v="28"/>
    </i>
    <i r="2">
      <x v="36"/>
    </i>
    <i r="1">
      <x v="13"/>
      <x v="29"/>
    </i>
    <i r="1">
      <x v="14"/>
      <x v="27"/>
    </i>
    <i r="2">
      <x v="45"/>
    </i>
    <i r="1">
      <x v="16"/>
      <x v="40"/>
    </i>
    <i r="1">
      <x v="17"/>
      <x v="49"/>
    </i>
    <i r="1">
      <x v="18"/>
      <x v="30"/>
    </i>
    <i r="2">
      <x v="54"/>
    </i>
    <i t="blank">
      <x v="9"/>
    </i>
    <i>
      <x v="10"/>
    </i>
    <i r="1">
      <x/>
      <x v="42"/>
    </i>
    <i r="1">
      <x v="1"/>
      <x v="37"/>
    </i>
    <i r="1">
      <x v="2"/>
      <x v="44"/>
    </i>
    <i r="1">
      <x v="3"/>
      <x v="33"/>
    </i>
    <i r="1">
      <x v="4"/>
      <x v="39"/>
    </i>
    <i r="1">
      <x v="5"/>
      <x v="28"/>
    </i>
    <i r="1">
      <x v="6"/>
      <x v="26"/>
    </i>
    <i r="1">
      <x v="7"/>
      <x v="31"/>
    </i>
    <i r="1">
      <x v="8"/>
      <x v="1"/>
    </i>
    <i r="1">
      <x v="9"/>
      <x v="2"/>
    </i>
    <i r="2">
      <x v="48"/>
    </i>
    <i r="1">
      <x v="11"/>
      <x/>
    </i>
    <i r="1">
      <x v="12"/>
      <x v="27"/>
    </i>
    <i r="1">
      <x v="13"/>
      <x v="47"/>
    </i>
    <i r="1">
      <x v="14"/>
      <x v="15"/>
    </i>
    <i r="2">
      <x v="29"/>
    </i>
    <i r="1">
      <x v="16"/>
      <x v="30"/>
    </i>
    <i r="1">
      <x v="17"/>
      <x v="40"/>
    </i>
    <i r="1">
      <x v="18"/>
      <x v="13"/>
    </i>
    <i r="1">
      <x v="19"/>
      <x v="49"/>
    </i>
    <i t="blank">
      <x v="10"/>
    </i>
    <i>
      <x v="11"/>
    </i>
    <i r="1">
      <x/>
      <x v="42"/>
    </i>
    <i r="1">
      <x v="1"/>
      <x v="44"/>
    </i>
    <i r="1">
      <x v="2"/>
      <x v="37"/>
    </i>
    <i r="1">
      <x v="3"/>
      <x v="1"/>
    </i>
    <i r="1">
      <x v="4"/>
      <x v="2"/>
    </i>
    <i r="1">
      <x v="5"/>
      <x v="33"/>
    </i>
    <i r="1">
      <x v="6"/>
      <x v="13"/>
    </i>
    <i r="1">
      <x v="7"/>
      <x/>
    </i>
    <i r="1">
      <x v="8"/>
      <x v="32"/>
    </i>
    <i r="1">
      <x v="9"/>
      <x v="15"/>
    </i>
    <i r="1">
      <x v="10"/>
      <x v="48"/>
    </i>
    <i r="1">
      <x v="11"/>
      <x v="47"/>
    </i>
    <i r="1">
      <x v="12"/>
      <x v="28"/>
    </i>
    <i r="1">
      <x v="13"/>
      <x v="31"/>
    </i>
    <i r="1">
      <x v="14"/>
      <x v="27"/>
    </i>
    <i r="1">
      <x v="15"/>
      <x v="39"/>
    </i>
    <i r="1">
      <x v="16"/>
      <x v="29"/>
    </i>
    <i r="1">
      <x v="17"/>
      <x v="51"/>
    </i>
    <i r="1">
      <x v="18"/>
      <x v="14"/>
    </i>
    <i r="1">
      <x v="19"/>
      <x v="45"/>
    </i>
    <i t="blank">
      <x v="11"/>
    </i>
    <i>
      <x v="12"/>
    </i>
    <i r="1">
      <x/>
      <x v="42"/>
    </i>
    <i r="1">
      <x v="1"/>
      <x v="44"/>
    </i>
    <i r="1">
      <x v="2"/>
      <x v="2"/>
    </i>
    <i r="2">
      <x v="13"/>
    </i>
    <i r="1">
      <x v="4"/>
      <x v="37"/>
    </i>
    <i r="1">
      <x v="5"/>
      <x v="1"/>
    </i>
    <i r="1">
      <x v="6"/>
      <x v="33"/>
    </i>
    <i r="1">
      <x v="7"/>
      <x/>
    </i>
    <i r="1">
      <x v="8"/>
      <x v="15"/>
    </i>
    <i r="1">
      <x v="9"/>
      <x v="30"/>
    </i>
    <i r="1">
      <x v="10"/>
      <x v="27"/>
    </i>
    <i r="1">
      <x v="11"/>
      <x v="32"/>
    </i>
    <i r="2">
      <x v="48"/>
    </i>
    <i r="1">
      <x v="13"/>
      <x v="47"/>
    </i>
    <i r="1">
      <x v="14"/>
      <x v="31"/>
    </i>
    <i r="1">
      <x v="15"/>
      <x v="28"/>
    </i>
    <i r="2">
      <x v="45"/>
    </i>
    <i r="1">
      <x v="17"/>
      <x v="24"/>
    </i>
    <i r="2">
      <x v="51"/>
    </i>
    <i r="1">
      <x v="19"/>
      <x v="14"/>
    </i>
    <i t="blank">
      <x v="12"/>
    </i>
    <i>
      <x v="13"/>
    </i>
    <i r="1">
      <x/>
      <x v="44"/>
    </i>
    <i r="1">
      <x v="1"/>
      <x v="42"/>
    </i>
    <i r="1">
      <x v="2"/>
      <x v="37"/>
    </i>
    <i r="1">
      <x v="3"/>
      <x v="2"/>
    </i>
    <i r="1">
      <x v="4"/>
      <x v="33"/>
    </i>
    <i r="1">
      <x v="5"/>
      <x v="1"/>
    </i>
    <i r="1">
      <x v="6"/>
      <x v="15"/>
    </i>
    <i r="1">
      <x v="7"/>
      <x v="13"/>
    </i>
    <i r="1">
      <x v="8"/>
      <x v="48"/>
    </i>
    <i r="1">
      <x v="9"/>
      <x/>
    </i>
    <i r="1">
      <x v="10"/>
      <x v="31"/>
    </i>
    <i r="1">
      <x v="11"/>
      <x v="27"/>
    </i>
    <i r="1">
      <x v="12"/>
      <x v="32"/>
    </i>
    <i r="1">
      <x v="13"/>
      <x v="47"/>
    </i>
    <i r="1">
      <x v="14"/>
      <x v="17"/>
    </i>
    <i r="2">
      <x v="28"/>
    </i>
    <i r="1">
      <x v="16"/>
      <x v="39"/>
    </i>
    <i r="1">
      <x v="17"/>
      <x v="40"/>
    </i>
    <i r="1">
      <x v="18"/>
      <x v="45"/>
    </i>
    <i r="1">
      <x v="19"/>
      <x v="14"/>
    </i>
    <i r="2">
      <x v="30"/>
    </i>
    <i t="blank">
      <x v="13"/>
    </i>
    <i>
      <x v="14"/>
    </i>
    <i r="1">
      <x/>
      <x v="42"/>
    </i>
    <i r="1">
      <x v="1"/>
      <x v="44"/>
    </i>
    <i r="1">
      <x v="2"/>
      <x v="37"/>
    </i>
    <i r="1">
      <x v="3"/>
      <x v="1"/>
    </i>
    <i r="1">
      <x v="4"/>
      <x v="2"/>
    </i>
    <i r="1">
      <x v="5"/>
      <x/>
    </i>
    <i r="1">
      <x v="6"/>
      <x v="47"/>
    </i>
    <i r="1">
      <x v="7"/>
      <x v="33"/>
    </i>
    <i r="1">
      <x v="8"/>
      <x v="32"/>
    </i>
    <i r="1">
      <x v="9"/>
      <x v="39"/>
    </i>
    <i r="1">
      <x v="10"/>
      <x v="48"/>
    </i>
    <i r="1">
      <x v="11"/>
      <x v="28"/>
    </i>
    <i r="1">
      <x v="12"/>
      <x v="13"/>
    </i>
    <i r="1">
      <x v="13"/>
      <x v="40"/>
    </i>
    <i r="1">
      <x v="14"/>
      <x v="29"/>
    </i>
    <i r="1">
      <x v="15"/>
      <x v="51"/>
    </i>
    <i r="1">
      <x v="16"/>
      <x v="49"/>
    </i>
    <i r="1">
      <x v="17"/>
      <x v="36"/>
    </i>
    <i r="2">
      <x v="45"/>
    </i>
    <i r="1">
      <x v="19"/>
      <x v="15"/>
    </i>
    <i t="blank">
      <x v="14"/>
    </i>
    <i>
      <x v="15"/>
    </i>
    <i r="1">
      <x/>
      <x v="44"/>
    </i>
    <i r="1">
      <x v="1"/>
      <x v="42"/>
    </i>
    <i r="1">
      <x v="2"/>
      <x v="47"/>
    </i>
    <i r="1">
      <x v="3"/>
      <x v="37"/>
    </i>
    <i r="1">
      <x v="4"/>
      <x v="2"/>
    </i>
    <i r="1">
      <x v="5"/>
      <x/>
    </i>
    <i r="1">
      <x v="6"/>
      <x v="1"/>
    </i>
    <i r="1">
      <x v="7"/>
      <x v="33"/>
    </i>
    <i r="1">
      <x v="8"/>
      <x v="48"/>
    </i>
    <i r="1">
      <x v="9"/>
      <x v="39"/>
    </i>
    <i r="1">
      <x v="10"/>
      <x v="13"/>
    </i>
    <i r="1">
      <x v="11"/>
      <x v="15"/>
    </i>
    <i r="1">
      <x v="12"/>
      <x v="32"/>
    </i>
    <i r="1">
      <x v="13"/>
      <x v="30"/>
    </i>
    <i r="1">
      <x v="14"/>
      <x v="40"/>
    </i>
    <i r="1">
      <x v="15"/>
      <x v="45"/>
    </i>
    <i r="1">
      <x v="16"/>
      <x v="36"/>
    </i>
    <i r="1">
      <x v="17"/>
      <x v="28"/>
    </i>
    <i r="2">
      <x v="31"/>
    </i>
    <i r="1">
      <x v="19"/>
      <x v="17"/>
    </i>
    <i t="blank">
      <x v="15"/>
    </i>
    <i>
      <x v="16"/>
    </i>
    <i r="1">
      <x/>
      <x v="37"/>
    </i>
    <i r="1">
      <x v="1"/>
      <x v="44"/>
    </i>
    <i r="1">
      <x v="2"/>
      <x v="42"/>
    </i>
    <i r="1">
      <x v="3"/>
      <x v="47"/>
    </i>
    <i r="1">
      <x v="4"/>
      <x v="39"/>
    </i>
    <i r="1">
      <x v="5"/>
      <x v="33"/>
    </i>
    <i r="1">
      <x v="6"/>
      <x v="48"/>
    </i>
    <i r="1">
      <x v="7"/>
      <x/>
    </i>
    <i r="1">
      <x v="8"/>
      <x v="1"/>
    </i>
    <i r="2">
      <x v="28"/>
    </i>
    <i r="1">
      <x v="10"/>
      <x v="40"/>
    </i>
    <i r="1">
      <x v="11"/>
      <x v="36"/>
    </i>
    <i r="1">
      <x v="12"/>
      <x v="2"/>
    </i>
    <i r="1">
      <x v="13"/>
      <x v="29"/>
    </i>
    <i r="1">
      <x v="14"/>
      <x v="30"/>
    </i>
    <i r="1">
      <x v="15"/>
      <x v="54"/>
    </i>
    <i r="1">
      <x v="16"/>
      <x v="31"/>
    </i>
    <i r="2">
      <x v="32"/>
    </i>
    <i r="1">
      <x v="18"/>
      <x v="27"/>
    </i>
    <i r="1">
      <x v="19"/>
      <x v="45"/>
    </i>
    <i t="blank">
      <x v="16"/>
    </i>
    <i>
      <x v="17"/>
    </i>
    <i r="1">
      <x/>
      <x v="37"/>
    </i>
    <i r="1">
      <x v="1"/>
      <x v="44"/>
    </i>
    <i r="1">
      <x v="2"/>
      <x v="42"/>
    </i>
    <i r="1">
      <x v="3"/>
      <x v="1"/>
    </i>
    <i r="1">
      <x v="4"/>
      <x/>
    </i>
    <i r="1">
      <x v="5"/>
      <x v="39"/>
    </i>
    <i r="1">
      <x v="6"/>
      <x v="2"/>
    </i>
    <i r="1">
      <x v="7"/>
      <x v="47"/>
    </i>
    <i r="1">
      <x v="8"/>
      <x v="33"/>
    </i>
    <i r="1">
      <x v="9"/>
      <x v="48"/>
    </i>
    <i r="1">
      <x v="10"/>
      <x v="32"/>
    </i>
    <i r="1">
      <x v="11"/>
      <x v="28"/>
    </i>
    <i r="1">
      <x v="12"/>
      <x v="40"/>
    </i>
    <i r="1">
      <x v="13"/>
      <x v="31"/>
    </i>
    <i r="1">
      <x v="14"/>
      <x v="36"/>
    </i>
    <i r="2">
      <x v="49"/>
    </i>
    <i r="1">
      <x v="16"/>
      <x v="29"/>
    </i>
    <i r="1">
      <x v="17"/>
      <x v="27"/>
    </i>
    <i r="1">
      <x v="18"/>
      <x v="45"/>
    </i>
    <i r="1">
      <x v="19"/>
      <x v="15"/>
    </i>
    <i t="blank">
      <x v="17"/>
    </i>
    <i>
      <x v="18"/>
    </i>
    <i r="1">
      <x/>
      <x v="42"/>
    </i>
    <i r="1">
      <x v="1"/>
      <x v="44"/>
    </i>
    <i r="1">
      <x v="2"/>
      <x v="37"/>
    </i>
    <i r="1">
      <x v="3"/>
      <x/>
    </i>
    <i r="1">
      <x v="4"/>
      <x v="33"/>
    </i>
    <i r="1">
      <x v="5"/>
      <x v="1"/>
    </i>
    <i r="1">
      <x v="6"/>
      <x v="47"/>
    </i>
    <i r="1">
      <x v="7"/>
      <x v="32"/>
    </i>
    <i r="1">
      <x v="8"/>
      <x v="31"/>
    </i>
    <i r="1">
      <x v="9"/>
      <x v="2"/>
    </i>
    <i r="1">
      <x v="10"/>
      <x v="48"/>
    </i>
    <i r="1">
      <x v="11"/>
      <x v="39"/>
    </i>
    <i r="1">
      <x v="12"/>
      <x v="30"/>
    </i>
    <i r="1">
      <x v="13"/>
      <x v="40"/>
    </i>
    <i r="1">
      <x v="14"/>
      <x v="36"/>
    </i>
    <i r="1">
      <x v="15"/>
      <x v="28"/>
    </i>
    <i r="1">
      <x v="16"/>
      <x v="13"/>
    </i>
    <i r="2">
      <x v="29"/>
    </i>
    <i r="1">
      <x v="18"/>
      <x v="27"/>
    </i>
    <i r="1">
      <x v="19"/>
      <x v="51"/>
    </i>
    <i t="blank">
      <x v="18"/>
    </i>
    <i>
      <x v="19"/>
    </i>
    <i r="1">
      <x/>
      <x v="44"/>
    </i>
    <i r="1">
      <x v="1"/>
      <x v="42"/>
    </i>
    <i r="1">
      <x v="2"/>
      <x v="37"/>
    </i>
    <i r="1">
      <x v="3"/>
      <x/>
    </i>
    <i r="1">
      <x v="4"/>
      <x v="33"/>
    </i>
    <i r="1">
      <x v="5"/>
      <x v="1"/>
    </i>
    <i r="1">
      <x v="6"/>
      <x v="47"/>
    </i>
    <i r="1">
      <x v="7"/>
      <x v="32"/>
    </i>
    <i r="1">
      <x v="8"/>
      <x v="2"/>
    </i>
    <i r="2">
      <x v="39"/>
    </i>
    <i r="1">
      <x v="10"/>
      <x v="31"/>
    </i>
    <i r="1">
      <x v="11"/>
      <x v="48"/>
    </i>
    <i r="1">
      <x v="12"/>
      <x v="30"/>
    </i>
    <i r="1">
      <x v="13"/>
      <x v="15"/>
    </i>
    <i r="1">
      <x v="14"/>
      <x v="40"/>
    </i>
    <i r="1">
      <x v="15"/>
      <x v="36"/>
    </i>
    <i r="1">
      <x v="16"/>
      <x v="29"/>
    </i>
    <i r="1">
      <x v="17"/>
      <x v="28"/>
    </i>
    <i r="1">
      <x v="18"/>
      <x v="5"/>
    </i>
    <i r="2">
      <x v="11"/>
    </i>
    <i t="blank">
      <x v="19"/>
    </i>
    <i>
      <x v="20"/>
    </i>
    <i r="1">
      <x/>
      <x v="42"/>
    </i>
    <i r="1">
      <x v="1"/>
      <x v="44"/>
    </i>
    <i r="1">
      <x v="2"/>
      <x v="5"/>
    </i>
    <i r="1">
      <x v="3"/>
      <x v="37"/>
    </i>
    <i r="1">
      <x v="4"/>
      <x/>
    </i>
    <i r="1">
      <x v="5"/>
      <x v="1"/>
    </i>
    <i r="1">
      <x v="6"/>
      <x v="47"/>
    </i>
    <i r="1">
      <x v="7"/>
      <x v="33"/>
    </i>
    <i r="1">
      <x v="8"/>
      <x v="2"/>
    </i>
    <i r="1">
      <x v="9"/>
      <x v="48"/>
    </i>
    <i r="1">
      <x v="10"/>
      <x v="32"/>
    </i>
    <i r="1">
      <x v="11"/>
      <x v="39"/>
    </i>
    <i r="1">
      <x v="12"/>
      <x v="31"/>
    </i>
    <i r="1">
      <x v="13"/>
      <x v="49"/>
    </i>
    <i r="1">
      <x v="14"/>
      <x v="40"/>
    </i>
    <i r="1">
      <x v="15"/>
      <x v="30"/>
    </i>
    <i r="1">
      <x v="16"/>
      <x v="36"/>
    </i>
    <i r="1">
      <x v="17"/>
      <x v="15"/>
    </i>
    <i r="2">
      <x v="28"/>
    </i>
    <i r="1">
      <x v="19"/>
      <x v="51"/>
    </i>
    <i t="blank">
      <x v="20"/>
    </i>
    <i>
      <x v="21"/>
    </i>
    <i r="1">
      <x/>
      <x v="11"/>
    </i>
    <i r="1">
      <x v="1"/>
      <x v="44"/>
    </i>
    <i r="1">
      <x v="2"/>
      <x v="42"/>
    </i>
    <i r="1">
      <x v="3"/>
      <x v="33"/>
    </i>
    <i r="1">
      <x v="4"/>
      <x/>
    </i>
    <i r="1">
      <x v="5"/>
      <x v="37"/>
    </i>
    <i r="1">
      <x v="6"/>
      <x v="1"/>
    </i>
    <i r="1">
      <x v="7"/>
      <x v="29"/>
    </i>
    <i r="1">
      <x v="8"/>
      <x v="47"/>
    </i>
    <i r="1">
      <x v="9"/>
      <x v="2"/>
    </i>
    <i r="1">
      <x v="10"/>
      <x v="31"/>
    </i>
    <i r="1">
      <x v="11"/>
      <x v="32"/>
    </i>
    <i r="1">
      <x v="12"/>
      <x v="48"/>
    </i>
    <i r="1">
      <x v="13"/>
      <x v="40"/>
    </i>
    <i r="1">
      <x v="14"/>
      <x v="13"/>
    </i>
    <i r="1">
      <x v="15"/>
      <x v="27"/>
    </i>
    <i r="1">
      <x v="16"/>
      <x v="39"/>
    </i>
    <i r="1">
      <x v="17"/>
      <x v="30"/>
    </i>
    <i r="1">
      <x v="18"/>
      <x v="54"/>
    </i>
    <i r="1">
      <x v="19"/>
      <x v="15"/>
    </i>
    <i r="2">
      <x v="16"/>
    </i>
    <i t="blank">
      <x v="21"/>
    </i>
    <i>
      <x v="22"/>
    </i>
    <i r="1">
      <x/>
      <x v="42"/>
    </i>
    <i r="1">
      <x v="1"/>
      <x v="44"/>
    </i>
    <i r="1">
      <x v="2"/>
      <x v="37"/>
    </i>
    <i r="1">
      <x v="3"/>
      <x v="33"/>
    </i>
    <i r="1">
      <x v="4"/>
      <x/>
    </i>
    <i r="1">
      <x v="5"/>
      <x v="47"/>
    </i>
    <i r="1">
      <x v="6"/>
      <x v="2"/>
    </i>
    <i r="1">
      <x v="7"/>
      <x v="39"/>
    </i>
    <i r="1">
      <x v="8"/>
      <x v="48"/>
    </i>
    <i r="1">
      <x v="9"/>
      <x v="31"/>
    </i>
    <i r="2">
      <x v="32"/>
    </i>
    <i r="1">
      <x v="11"/>
      <x v="1"/>
    </i>
    <i r="1">
      <x v="12"/>
      <x v="30"/>
    </i>
    <i r="1">
      <x v="13"/>
      <x v="13"/>
    </i>
    <i r="1">
      <x v="14"/>
      <x v="40"/>
    </i>
    <i r="1">
      <x v="15"/>
      <x v="27"/>
    </i>
    <i r="1">
      <x v="16"/>
      <x v="15"/>
    </i>
    <i r="2">
      <x v="36"/>
    </i>
    <i r="1">
      <x v="18"/>
      <x v="49"/>
    </i>
    <i r="1">
      <x v="19"/>
      <x v="29"/>
    </i>
    <i t="blank">
      <x v="22"/>
    </i>
    <i>
      <x v="23"/>
    </i>
    <i r="1">
      <x/>
      <x v="42"/>
    </i>
    <i r="1">
      <x v="1"/>
      <x v="44"/>
    </i>
    <i r="1">
      <x v="2"/>
      <x/>
    </i>
    <i r="1">
      <x v="3"/>
      <x v="1"/>
    </i>
    <i r="1">
      <x v="4"/>
      <x v="47"/>
    </i>
    <i r="1">
      <x v="5"/>
      <x v="37"/>
    </i>
    <i r="1">
      <x v="6"/>
      <x v="2"/>
    </i>
    <i r="1">
      <x v="7"/>
      <x v="33"/>
    </i>
    <i r="1">
      <x v="8"/>
      <x v="32"/>
    </i>
    <i r="1">
      <x v="9"/>
      <x v="48"/>
    </i>
    <i r="1">
      <x v="10"/>
      <x v="39"/>
    </i>
    <i r="1">
      <x v="11"/>
      <x v="40"/>
    </i>
    <i r="1">
      <x v="12"/>
      <x v="13"/>
    </i>
    <i r="1">
      <x v="13"/>
      <x v="31"/>
    </i>
    <i r="1">
      <x v="14"/>
      <x v="28"/>
    </i>
    <i r="1">
      <x v="15"/>
      <x v="15"/>
    </i>
    <i r="1">
      <x v="16"/>
      <x v="29"/>
    </i>
    <i r="1">
      <x v="17"/>
      <x v="51"/>
    </i>
    <i r="1">
      <x v="18"/>
      <x v="30"/>
    </i>
    <i r="1">
      <x v="19"/>
      <x v="36"/>
    </i>
    <i t="blank">
      <x v="23"/>
    </i>
    <i>
      <x v="24"/>
    </i>
    <i r="1">
      <x/>
      <x v="44"/>
    </i>
    <i r="1">
      <x v="1"/>
      <x v="42"/>
    </i>
    <i r="1">
      <x v="2"/>
      <x v="33"/>
    </i>
    <i r="1">
      <x v="3"/>
      <x/>
    </i>
    <i r="1">
      <x v="4"/>
      <x v="1"/>
    </i>
    <i r="1">
      <x v="5"/>
      <x v="47"/>
    </i>
    <i r="1">
      <x v="6"/>
      <x v="32"/>
    </i>
    <i r="1">
      <x v="7"/>
      <x v="31"/>
    </i>
    <i r="1">
      <x v="8"/>
      <x v="37"/>
    </i>
    <i r="1">
      <x v="9"/>
      <x v="2"/>
    </i>
    <i r="1">
      <x v="10"/>
      <x v="48"/>
    </i>
    <i r="1">
      <x v="11"/>
      <x v="39"/>
    </i>
    <i r="1">
      <x v="12"/>
      <x v="30"/>
    </i>
    <i r="1">
      <x v="13"/>
      <x v="15"/>
    </i>
    <i r="1">
      <x v="14"/>
      <x v="40"/>
    </i>
    <i r="1">
      <x v="15"/>
      <x v="17"/>
    </i>
    <i r="1">
      <x v="16"/>
      <x v="13"/>
    </i>
    <i r="1">
      <x v="17"/>
      <x v="28"/>
    </i>
    <i r="1">
      <x v="18"/>
      <x v="36"/>
    </i>
    <i r="1">
      <x v="19"/>
      <x v="45"/>
    </i>
    <i r="2">
      <x v="49"/>
    </i>
    <i r="2">
      <x v="51"/>
    </i>
    <i t="blank">
      <x v="24"/>
    </i>
    <i>
      <x v="25"/>
    </i>
    <i r="1">
      <x/>
      <x v="44"/>
    </i>
    <i r="1">
      <x v="1"/>
      <x v="42"/>
    </i>
    <i r="1">
      <x v="2"/>
      <x v="33"/>
    </i>
    <i r="1">
      <x v="3"/>
      <x v="37"/>
    </i>
    <i r="1">
      <x v="4"/>
      <x v="47"/>
    </i>
    <i r="1">
      <x v="5"/>
      <x v="1"/>
    </i>
    <i r="1">
      <x v="6"/>
      <x/>
    </i>
    <i r="1">
      <x v="7"/>
      <x v="31"/>
    </i>
    <i r="1">
      <x v="8"/>
      <x v="48"/>
    </i>
    <i r="1">
      <x v="9"/>
      <x v="2"/>
    </i>
    <i r="1">
      <x v="10"/>
      <x v="32"/>
    </i>
    <i r="1">
      <x v="11"/>
      <x v="30"/>
    </i>
    <i r="1">
      <x v="12"/>
      <x v="13"/>
    </i>
    <i r="1">
      <x v="13"/>
      <x v="39"/>
    </i>
    <i r="1">
      <x v="14"/>
      <x v="5"/>
    </i>
    <i r="1">
      <x v="15"/>
      <x v="28"/>
    </i>
    <i r="1">
      <x v="16"/>
      <x v="49"/>
    </i>
    <i r="1">
      <x v="17"/>
      <x v="27"/>
    </i>
    <i r="2">
      <x v="29"/>
    </i>
    <i r="1">
      <x v="19"/>
      <x v="40"/>
    </i>
    <i t="blank">
      <x v="25"/>
    </i>
    <i>
      <x v="26"/>
    </i>
    <i r="1">
      <x/>
      <x v="44"/>
    </i>
    <i r="1">
      <x v="1"/>
      <x v="33"/>
    </i>
    <i r="1">
      <x v="2"/>
      <x v="1"/>
    </i>
    <i r="2">
      <x v="42"/>
    </i>
    <i r="1">
      <x v="4"/>
      <x v="37"/>
    </i>
    <i r="1">
      <x v="5"/>
      <x/>
    </i>
    <i r="1">
      <x v="6"/>
      <x v="47"/>
    </i>
    <i r="1">
      <x v="7"/>
      <x v="31"/>
    </i>
    <i r="1">
      <x v="8"/>
      <x v="2"/>
    </i>
    <i r="1">
      <x v="9"/>
      <x v="48"/>
    </i>
    <i r="1">
      <x v="10"/>
      <x v="15"/>
    </i>
    <i r="2">
      <x v="32"/>
    </i>
    <i r="1">
      <x v="12"/>
      <x v="13"/>
    </i>
    <i r="1">
      <x v="13"/>
      <x v="11"/>
    </i>
    <i r="1">
      <x v="14"/>
      <x v="17"/>
    </i>
    <i r="1">
      <x v="15"/>
      <x v="39"/>
    </i>
    <i r="1">
      <x v="16"/>
      <x v="40"/>
    </i>
    <i r="1">
      <x v="17"/>
      <x v="27"/>
    </i>
    <i r="1">
      <x v="18"/>
      <x v="30"/>
    </i>
    <i r="1">
      <x v="19"/>
      <x v="51"/>
    </i>
    <i t="blank">
      <x v="26"/>
    </i>
    <i>
      <x v="27"/>
    </i>
    <i r="1">
      <x/>
      <x v="42"/>
    </i>
    <i r="1">
      <x v="1"/>
      <x v="44"/>
    </i>
    <i r="1">
      <x v="2"/>
      <x v="37"/>
    </i>
    <i r="1">
      <x v="3"/>
      <x v="33"/>
    </i>
    <i r="1">
      <x v="4"/>
      <x v="47"/>
    </i>
    <i r="1">
      <x v="5"/>
      <x v="1"/>
    </i>
    <i r="1">
      <x v="6"/>
      <x/>
    </i>
    <i r="1">
      <x v="7"/>
      <x v="2"/>
    </i>
    <i r="2">
      <x v="32"/>
    </i>
    <i r="1">
      <x v="9"/>
      <x v="31"/>
    </i>
    <i r="1">
      <x v="10"/>
      <x v="48"/>
    </i>
    <i r="1">
      <x v="11"/>
      <x v="39"/>
    </i>
    <i r="1">
      <x v="12"/>
      <x v="15"/>
    </i>
    <i r="1">
      <x v="13"/>
      <x v="28"/>
    </i>
    <i r="1">
      <x v="14"/>
      <x v="40"/>
    </i>
    <i r="1">
      <x v="15"/>
      <x v="13"/>
    </i>
    <i r="1">
      <x v="16"/>
      <x v="17"/>
    </i>
    <i r="1">
      <x v="17"/>
      <x v="36"/>
    </i>
    <i r="1">
      <x v="18"/>
      <x v="30"/>
    </i>
    <i r="1">
      <x v="19"/>
      <x v="29"/>
    </i>
    <i t="blank">
      <x v="27"/>
    </i>
    <i>
      <x v="28"/>
    </i>
    <i r="1">
      <x/>
      <x v="44"/>
    </i>
    <i r="1">
      <x v="1"/>
      <x v="42"/>
    </i>
    <i r="1">
      <x v="2"/>
      <x v="37"/>
    </i>
    <i r="1">
      <x v="3"/>
      <x/>
    </i>
    <i r="1">
      <x v="4"/>
      <x v="33"/>
    </i>
    <i r="1">
      <x v="5"/>
      <x v="47"/>
    </i>
    <i r="1">
      <x v="6"/>
      <x v="1"/>
    </i>
    <i r="1">
      <x v="7"/>
      <x v="2"/>
    </i>
    <i r="1">
      <x v="8"/>
      <x v="32"/>
    </i>
    <i r="1">
      <x v="9"/>
      <x v="31"/>
    </i>
    <i r="1">
      <x v="10"/>
      <x v="48"/>
    </i>
    <i r="1">
      <x v="11"/>
      <x v="39"/>
    </i>
    <i r="1">
      <x v="12"/>
      <x v="40"/>
    </i>
    <i r="1">
      <x v="13"/>
      <x v="30"/>
    </i>
    <i r="1">
      <x v="14"/>
      <x v="15"/>
    </i>
    <i r="1">
      <x v="15"/>
      <x v="13"/>
    </i>
    <i r="1">
      <x v="16"/>
      <x v="51"/>
    </i>
    <i r="1">
      <x v="17"/>
      <x v="36"/>
    </i>
    <i r="1">
      <x v="18"/>
      <x v="17"/>
    </i>
    <i r="1">
      <x v="19"/>
      <x v="28"/>
    </i>
    <i t="blank">
      <x v="28"/>
    </i>
    <i>
      <x v="29"/>
    </i>
    <i r="1">
      <x/>
      <x v="37"/>
    </i>
    <i r="1">
      <x v="1"/>
      <x v="44"/>
    </i>
    <i r="1">
      <x v="2"/>
      <x v="42"/>
    </i>
    <i r="1">
      <x v="3"/>
      <x v="47"/>
    </i>
    <i r="1">
      <x v="4"/>
      <x v="33"/>
    </i>
    <i r="1">
      <x v="5"/>
      <x/>
    </i>
    <i r="1">
      <x v="6"/>
      <x v="1"/>
    </i>
    <i r="1">
      <x v="7"/>
      <x v="32"/>
    </i>
    <i r="1">
      <x v="8"/>
      <x v="48"/>
    </i>
    <i r="1">
      <x v="9"/>
      <x v="2"/>
    </i>
    <i r="2">
      <x v="31"/>
    </i>
    <i r="1">
      <x v="11"/>
      <x v="15"/>
    </i>
    <i r="1">
      <x v="12"/>
      <x v="39"/>
    </i>
    <i r="1">
      <x v="13"/>
      <x v="30"/>
    </i>
    <i r="1">
      <x v="14"/>
      <x v="13"/>
    </i>
    <i r="2">
      <x v="28"/>
    </i>
    <i r="1">
      <x v="16"/>
      <x v="40"/>
    </i>
    <i r="1">
      <x v="17"/>
      <x v="36"/>
    </i>
    <i r="1">
      <x v="18"/>
      <x v="17"/>
    </i>
    <i r="1">
      <x v="19"/>
      <x v="51"/>
    </i>
    <i t="blank">
      <x v="29"/>
    </i>
    <i>
      <x v="30"/>
    </i>
    <i r="1">
      <x/>
      <x v="44"/>
    </i>
    <i r="1">
      <x v="1"/>
      <x v="42"/>
    </i>
    <i r="1">
      <x v="2"/>
      <x/>
    </i>
    <i r="1">
      <x v="3"/>
      <x v="33"/>
    </i>
    <i r="1">
      <x v="4"/>
      <x v="1"/>
    </i>
    <i r="1">
      <x v="5"/>
      <x v="31"/>
    </i>
    <i r="1">
      <x v="6"/>
      <x v="47"/>
    </i>
    <i r="1">
      <x v="7"/>
      <x v="37"/>
    </i>
    <i r="1">
      <x v="8"/>
      <x v="2"/>
    </i>
    <i r="1">
      <x v="9"/>
      <x v="32"/>
    </i>
    <i r="1">
      <x v="10"/>
      <x v="48"/>
    </i>
    <i r="1">
      <x v="11"/>
      <x v="5"/>
    </i>
    <i r="1">
      <x v="12"/>
      <x v="15"/>
    </i>
    <i r="2">
      <x v="30"/>
    </i>
    <i r="1">
      <x v="14"/>
      <x v="40"/>
    </i>
    <i r="1">
      <x v="15"/>
      <x v="13"/>
    </i>
    <i r="1">
      <x v="16"/>
      <x v="39"/>
    </i>
    <i r="1">
      <x v="17"/>
      <x v="29"/>
    </i>
    <i r="1">
      <x v="18"/>
      <x v="18"/>
    </i>
    <i r="1">
      <x v="19"/>
      <x v="3"/>
    </i>
    <i r="2">
      <x v="27"/>
    </i>
    <i t="blank">
      <x v="30"/>
    </i>
    <i>
      <x v="31"/>
    </i>
    <i r="1">
      <x/>
      <x v="42"/>
    </i>
    <i r="1">
      <x v="1"/>
      <x v="44"/>
    </i>
    <i r="1">
      <x v="2"/>
      <x v="5"/>
    </i>
    <i r="1">
      <x v="3"/>
      <x v="37"/>
    </i>
    <i r="1">
      <x v="4"/>
      <x v="33"/>
    </i>
    <i r="1">
      <x v="5"/>
      <x v="31"/>
    </i>
    <i r="1">
      <x v="6"/>
      <x/>
    </i>
    <i r="1">
      <x v="7"/>
      <x v="1"/>
    </i>
    <i r="1">
      <x v="8"/>
      <x v="32"/>
    </i>
    <i r="1">
      <x v="9"/>
      <x v="47"/>
    </i>
    <i r="1">
      <x v="10"/>
      <x v="2"/>
    </i>
    <i r="1">
      <x v="11"/>
      <x v="48"/>
    </i>
    <i r="1">
      <x v="12"/>
      <x v="30"/>
    </i>
    <i r="1">
      <x v="13"/>
      <x v="40"/>
    </i>
    <i r="1">
      <x v="14"/>
      <x v="39"/>
    </i>
    <i r="1">
      <x v="15"/>
      <x v="15"/>
    </i>
    <i r="1">
      <x v="16"/>
      <x v="26"/>
    </i>
    <i r="1">
      <x v="17"/>
      <x v="13"/>
    </i>
    <i r="1">
      <x v="18"/>
      <x v="17"/>
    </i>
    <i r="1">
      <x v="19"/>
      <x v="25"/>
    </i>
    <i t="blank">
      <x v="31"/>
    </i>
    <i>
      <x v="32"/>
    </i>
    <i r="1">
      <x/>
      <x v="42"/>
    </i>
    <i r="1">
      <x v="1"/>
      <x v="44"/>
    </i>
    <i r="1">
      <x v="2"/>
      <x v="33"/>
    </i>
    <i r="1">
      <x v="3"/>
      <x v="47"/>
    </i>
    <i r="1">
      <x v="4"/>
      <x v="1"/>
    </i>
    <i r="1">
      <x v="5"/>
      <x/>
    </i>
    <i r="1">
      <x v="6"/>
      <x v="37"/>
    </i>
    <i r="1">
      <x v="7"/>
      <x v="2"/>
    </i>
    <i r="1">
      <x v="8"/>
      <x v="39"/>
    </i>
    <i r="2">
      <x v="48"/>
    </i>
    <i r="1">
      <x v="10"/>
      <x v="31"/>
    </i>
    <i r="1">
      <x v="11"/>
      <x v="15"/>
    </i>
    <i r="1">
      <x v="12"/>
      <x v="32"/>
    </i>
    <i r="1">
      <x v="13"/>
      <x v="13"/>
    </i>
    <i r="1">
      <x v="14"/>
      <x v="40"/>
    </i>
    <i r="1">
      <x v="15"/>
      <x v="30"/>
    </i>
    <i r="1">
      <x v="16"/>
      <x v="49"/>
    </i>
    <i r="1">
      <x v="17"/>
      <x v="54"/>
    </i>
    <i r="1">
      <x v="18"/>
      <x v="29"/>
    </i>
    <i r="1">
      <x v="19"/>
      <x v="28"/>
    </i>
    <i t="blank">
      <x v="32"/>
    </i>
    <i>
      <x v="33"/>
    </i>
    <i r="1">
      <x/>
      <x v="44"/>
    </i>
    <i r="1">
      <x v="1"/>
      <x v="42"/>
    </i>
    <i r="1">
      <x v="2"/>
      <x v="11"/>
    </i>
    <i r="1">
      <x v="3"/>
      <x v="33"/>
    </i>
    <i r="1">
      <x v="4"/>
      <x/>
    </i>
    <i r="1">
      <x v="5"/>
      <x v="47"/>
    </i>
    <i r="1">
      <x v="6"/>
      <x v="1"/>
    </i>
    <i r="2">
      <x v="31"/>
    </i>
    <i r="1">
      <x v="8"/>
      <x v="30"/>
    </i>
    <i r="1">
      <x v="9"/>
      <x v="37"/>
    </i>
    <i r="1">
      <x v="10"/>
      <x v="2"/>
    </i>
    <i r="1">
      <x v="11"/>
      <x v="39"/>
    </i>
    <i r="1">
      <x v="12"/>
      <x v="29"/>
    </i>
    <i r="1">
      <x v="13"/>
      <x v="32"/>
    </i>
    <i r="1">
      <x v="14"/>
      <x v="48"/>
    </i>
    <i r="1">
      <x v="15"/>
      <x v="40"/>
    </i>
    <i r="1">
      <x v="16"/>
      <x v="45"/>
    </i>
    <i r="2">
      <x v="49"/>
    </i>
    <i r="1">
      <x v="18"/>
      <x v="24"/>
    </i>
    <i r="1">
      <x v="19"/>
      <x v="51"/>
    </i>
    <i t="blank">
      <x v="33"/>
    </i>
    <i>
      <x v="34"/>
    </i>
    <i r="1">
      <x/>
      <x v="42"/>
    </i>
    <i r="1">
      <x v="1"/>
      <x v="44"/>
    </i>
    <i r="1">
      <x v="2"/>
      <x v="47"/>
    </i>
    <i r="1">
      <x v="3"/>
      <x v="33"/>
    </i>
    <i r="1">
      <x v="4"/>
      <x/>
    </i>
    <i r="1">
      <x v="5"/>
      <x v="1"/>
    </i>
    <i r="1">
      <x v="6"/>
      <x v="48"/>
    </i>
    <i r="1">
      <x v="7"/>
      <x v="37"/>
    </i>
    <i r="1">
      <x v="8"/>
      <x v="5"/>
    </i>
    <i r="1">
      <x v="9"/>
      <x v="2"/>
    </i>
    <i r="1">
      <x v="10"/>
      <x v="31"/>
    </i>
    <i r="1">
      <x v="11"/>
      <x v="32"/>
    </i>
    <i r="1">
      <x v="12"/>
      <x v="39"/>
    </i>
    <i r="1">
      <x v="13"/>
      <x v="40"/>
    </i>
    <i r="1">
      <x v="14"/>
      <x v="15"/>
    </i>
    <i r="1">
      <x v="15"/>
      <x v="13"/>
    </i>
    <i r="1">
      <x v="16"/>
      <x v="30"/>
    </i>
    <i r="2">
      <x v="45"/>
    </i>
    <i r="1">
      <x v="18"/>
      <x v="29"/>
    </i>
    <i r="2">
      <x v="36"/>
    </i>
    <i t="blank">
      <x v="34"/>
    </i>
    <i>
      <x v="35"/>
    </i>
    <i r="1">
      <x/>
      <x v="42"/>
    </i>
    <i r="1">
      <x v="1"/>
      <x v="37"/>
    </i>
    <i r="2">
      <x v="44"/>
    </i>
    <i r="1">
      <x v="3"/>
      <x/>
    </i>
    <i r="1">
      <x v="4"/>
      <x v="33"/>
    </i>
    <i r="1">
      <x v="5"/>
      <x v="47"/>
    </i>
    <i r="1">
      <x v="6"/>
      <x v="1"/>
    </i>
    <i r="1">
      <x v="7"/>
      <x v="13"/>
    </i>
    <i r="1">
      <x v="8"/>
      <x v="2"/>
    </i>
    <i r="1">
      <x v="9"/>
      <x v="15"/>
    </i>
    <i r="2">
      <x v="32"/>
    </i>
    <i r="1">
      <x v="11"/>
      <x v="39"/>
    </i>
    <i r="1">
      <x v="12"/>
      <x v="48"/>
    </i>
    <i r="1">
      <x v="13"/>
      <x v="28"/>
    </i>
    <i r="2">
      <x v="31"/>
    </i>
    <i r="1">
      <x v="15"/>
      <x v="10"/>
    </i>
    <i r="1">
      <x v="16"/>
      <x v="27"/>
    </i>
    <i r="1">
      <x v="17"/>
      <x v="29"/>
    </i>
    <i r="1">
      <x v="18"/>
      <x v="22"/>
    </i>
    <i r="1">
      <x v="19"/>
      <x v="40"/>
    </i>
    <i t="blank">
      <x v="35"/>
    </i>
    <i>
      <x v="36"/>
    </i>
    <i r="1">
      <x/>
      <x v="42"/>
    </i>
    <i r="1">
      <x v="1"/>
      <x v="44"/>
    </i>
    <i r="1">
      <x v="2"/>
      <x v="37"/>
    </i>
    <i r="1">
      <x v="3"/>
      <x v="33"/>
    </i>
    <i r="1">
      <x v="4"/>
      <x/>
    </i>
    <i r="1">
      <x v="5"/>
      <x v="1"/>
    </i>
    <i r="1">
      <x v="6"/>
      <x v="47"/>
    </i>
    <i r="1">
      <x v="7"/>
      <x v="48"/>
    </i>
    <i r="1">
      <x v="8"/>
      <x v="5"/>
    </i>
    <i r="1">
      <x v="9"/>
      <x v="32"/>
    </i>
    <i r="1">
      <x v="10"/>
      <x v="31"/>
    </i>
    <i r="1">
      <x v="11"/>
      <x v="39"/>
    </i>
    <i r="1">
      <x v="12"/>
      <x v="2"/>
    </i>
    <i r="1">
      <x v="13"/>
      <x v="29"/>
    </i>
    <i r="1">
      <x v="14"/>
      <x v="30"/>
    </i>
    <i r="1">
      <x v="15"/>
      <x v="49"/>
    </i>
    <i r="2">
      <x v="51"/>
    </i>
    <i r="1">
      <x v="17"/>
      <x v="15"/>
    </i>
    <i r="1">
      <x v="18"/>
      <x v="36"/>
    </i>
    <i r="1">
      <x v="19"/>
      <x v="40"/>
    </i>
    <i t="blank">
      <x v="36"/>
    </i>
    <i>
      <x v="37"/>
    </i>
    <i r="1">
      <x/>
      <x v="44"/>
    </i>
    <i r="1">
      <x v="1"/>
      <x/>
    </i>
    <i r="1">
      <x v="2"/>
      <x v="33"/>
    </i>
    <i r="1">
      <x v="3"/>
      <x v="42"/>
    </i>
    <i r="1">
      <x v="4"/>
      <x v="1"/>
    </i>
    <i r="1">
      <x v="5"/>
      <x v="31"/>
    </i>
    <i r="1">
      <x v="6"/>
      <x v="47"/>
    </i>
    <i r="1">
      <x v="7"/>
      <x v="32"/>
    </i>
    <i r="2">
      <x v="48"/>
    </i>
    <i r="1">
      <x v="9"/>
      <x v="2"/>
    </i>
    <i r="1">
      <x v="10"/>
      <x v="30"/>
    </i>
    <i r="1">
      <x v="11"/>
      <x v="40"/>
    </i>
    <i r="1">
      <x v="12"/>
      <x v="37"/>
    </i>
    <i r="1">
      <x v="13"/>
      <x v="39"/>
    </i>
    <i r="1">
      <x v="14"/>
      <x v="6"/>
    </i>
    <i r="2">
      <x v="49"/>
    </i>
    <i r="1">
      <x v="16"/>
      <x v="13"/>
    </i>
    <i r="1">
      <x v="17"/>
      <x v="41"/>
    </i>
    <i r="1">
      <x v="18"/>
      <x v="36"/>
    </i>
    <i r="2">
      <x v="54"/>
    </i>
    <i t="blank">
      <x v="37"/>
    </i>
    <i>
      <x v="38"/>
    </i>
    <i r="1">
      <x/>
      <x v="44"/>
    </i>
    <i r="1">
      <x v="1"/>
      <x v="42"/>
    </i>
    <i r="1">
      <x v="2"/>
      <x v="37"/>
    </i>
    <i r="1">
      <x v="3"/>
      <x v="2"/>
    </i>
    <i r="1">
      <x v="4"/>
      <x/>
    </i>
    <i r="1">
      <x v="5"/>
      <x v="1"/>
    </i>
    <i r="1">
      <x v="6"/>
      <x v="47"/>
    </i>
    <i r="1">
      <x v="7"/>
      <x v="33"/>
    </i>
    <i r="1">
      <x v="8"/>
      <x v="48"/>
    </i>
    <i r="1">
      <x v="9"/>
      <x v="32"/>
    </i>
    <i r="1">
      <x v="10"/>
      <x v="31"/>
    </i>
    <i r="1">
      <x v="11"/>
      <x v="13"/>
    </i>
    <i r="1">
      <x v="12"/>
      <x v="27"/>
    </i>
    <i r="1">
      <x v="13"/>
      <x v="43"/>
    </i>
    <i r="1">
      <x v="14"/>
      <x v="39"/>
    </i>
    <i r="1">
      <x v="15"/>
      <x v="28"/>
    </i>
    <i r="1">
      <x v="16"/>
      <x v="15"/>
    </i>
    <i r="2">
      <x v="40"/>
    </i>
    <i r="1">
      <x v="18"/>
      <x v="45"/>
    </i>
    <i r="2">
      <x v="49"/>
    </i>
    <i t="blank">
      <x v="38"/>
    </i>
    <i>
      <x v="39"/>
    </i>
    <i r="1">
      <x/>
      <x v="44"/>
    </i>
    <i r="1">
      <x v="1"/>
      <x v="37"/>
    </i>
    <i r="1">
      <x v="2"/>
      <x v="42"/>
    </i>
    <i r="1">
      <x v="3"/>
      <x/>
    </i>
    <i r="1">
      <x v="4"/>
      <x v="33"/>
    </i>
    <i r="1">
      <x v="5"/>
      <x v="1"/>
    </i>
    <i r="1">
      <x v="6"/>
      <x v="47"/>
    </i>
    <i r="1">
      <x v="7"/>
      <x v="2"/>
    </i>
    <i r="1">
      <x v="8"/>
      <x v="15"/>
    </i>
    <i r="1">
      <x v="9"/>
      <x v="13"/>
    </i>
    <i r="1">
      <x v="10"/>
      <x v="48"/>
    </i>
    <i r="1">
      <x v="11"/>
      <x v="32"/>
    </i>
    <i r="1">
      <x v="12"/>
      <x v="31"/>
    </i>
    <i r="1">
      <x v="13"/>
      <x v="39"/>
    </i>
    <i r="1">
      <x v="14"/>
      <x v="40"/>
    </i>
    <i r="1">
      <x v="15"/>
      <x v="30"/>
    </i>
    <i r="1">
      <x v="16"/>
      <x v="36"/>
    </i>
    <i r="1">
      <x v="17"/>
      <x v="17"/>
    </i>
    <i r="2">
      <x v="28"/>
    </i>
    <i r="1">
      <x v="19"/>
      <x v="27"/>
    </i>
    <i r="2">
      <x v="29"/>
    </i>
    <i t="blank">
      <x v="39"/>
    </i>
    <i>
      <x v="40"/>
    </i>
    <i r="1">
      <x/>
      <x v="44"/>
    </i>
    <i r="1">
      <x v="1"/>
      <x v="42"/>
    </i>
    <i r="1">
      <x v="2"/>
      <x v="37"/>
    </i>
    <i r="1">
      <x v="3"/>
      <x v="1"/>
    </i>
    <i r="2">
      <x v="2"/>
    </i>
    <i r="1">
      <x v="5"/>
      <x v="33"/>
    </i>
    <i r="1">
      <x v="6"/>
      <x/>
    </i>
    <i r="1">
      <x v="7"/>
      <x v="47"/>
    </i>
    <i r="1">
      <x v="8"/>
      <x v="48"/>
    </i>
    <i r="1">
      <x v="9"/>
      <x v="31"/>
    </i>
    <i r="1">
      <x v="10"/>
      <x v="32"/>
    </i>
    <i r="1">
      <x v="11"/>
      <x v="39"/>
    </i>
    <i r="1">
      <x v="12"/>
      <x v="45"/>
    </i>
    <i r="1">
      <x v="13"/>
      <x v="49"/>
    </i>
    <i r="1">
      <x v="14"/>
      <x v="30"/>
    </i>
    <i r="1">
      <x v="15"/>
      <x v="40"/>
    </i>
    <i r="2">
      <x v="54"/>
    </i>
    <i r="1">
      <x v="17"/>
      <x v="29"/>
    </i>
    <i r="1">
      <x v="18"/>
      <x v="27"/>
    </i>
    <i r="2">
      <x v="36"/>
    </i>
    <i t="blank">
      <x v="40"/>
    </i>
    <i>
      <x v="41"/>
    </i>
    <i r="1">
      <x/>
      <x v="44"/>
    </i>
    <i r="1">
      <x v="1"/>
      <x v="42"/>
    </i>
    <i r="1">
      <x v="2"/>
      <x v="33"/>
    </i>
    <i r="1">
      <x v="3"/>
      <x v="37"/>
    </i>
    <i r="1">
      <x v="4"/>
      <x/>
    </i>
    <i r="1">
      <x v="5"/>
      <x v="47"/>
    </i>
    <i r="1">
      <x v="6"/>
      <x v="30"/>
    </i>
    <i r="1">
      <x v="7"/>
      <x v="31"/>
    </i>
    <i r="1">
      <x v="8"/>
      <x v="1"/>
    </i>
    <i r="2">
      <x v="48"/>
    </i>
    <i r="1">
      <x v="10"/>
      <x v="32"/>
    </i>
    <i r="1">
      <x v="11"/>
      <x v="39"/>
    </i>
    <i r="1">
      <x v="12"/>
      <x v="2"/>
    </i>
    <i r="1">
      <x v="13"/>
      <x v="40"/>
    </i>
    <i r="1">
      <x v="14"/>
      <x v="13"/>
    </i>
    <i r="2">
      <x v="15"/>
    </i>
    <i r="2">
      <x v="45"/>
    </i>
    <i r="1">
      <x v="17"/>
      <x v="17"/>
    </i>
    <i r="2">
      <x v="36"/>
    </i>
    <i r="1">
      <x v="19"/>
      <x v="28"/>
    </i>
    <i t="blank">
      <x v="41"/>
    </i>
    <i>
      <x v="42"/>
    </i>
    <i r="1">
      <x/>
      <x v="44"/>
    </i>
    <i r="1">
      <x v="1"/>
      <x v="37"/>
    </i>
    <i r="1">
      <x v="2"/>
      <x v="42"/>
    </i>
    <i r="1">
      <x v="3"/>
      <x/>
    </i>
    <i r="1">
      <x v="4"/>
      <x v="47"/>
    </i>
    <i r="1">
      <x v="5"/>
      <x v="33"/>
    </i>
    <i r="1">
      <x v="6"/>
      <x v="2"/>
    </i>
    <i r="1">
      <x v="7"/>
      <x v="1"/>
    </i>
    <i r="1">
      <x v="8"/>
      <x v="48"/>
    </i>
    <i r="1">
      <x v="9"/>
      <x v="39"/>
    </i>
    <i r="1">
      <x v="10"/>
      <x v="32"/>
    </i>
    <i r="1">
      <x v="11"/>
      <x v="40"/>
    </i>
    <i r="1">
      <x v="12"/>
      <x v="36"/>
    </i>
    <i r="1">
      <x v="13"/>
      <x v="49"/>
    </i>
    <i r="1">
      <x v="14"/>
      <x v="31"/>
    </i>
    <i r="1">
      <x v="15"/>
      <x v="29"/>
    </i>
    <i r="1">
      <x v="16"/>
      <x v="15"/>
    </i>
    <i r="1">
      <x v="17"/>
      <x v="54"/>
    </i>
    <i r="1">
      <x v="18"/>
      <x v="13"/>
    </i>
    <i r="2">
      <x v="27"/>
    </i>
    <i r="2">
      <x v="28"/>
    </i>
    <i t="blank">
      <x v="42"/>
    </i>
    <i>
      <x v="43"/>
    </i>
    <i r="1">
      <x/>
      <x v="44"/>
    </i>
    <i r="1">
      <x v="1"/>
      <x v="42"/>
    </i>
    <i r="1">
      <x v="2"/>
      <x v="37"/>
    </i>
    <i r="1">
      <x v="3"/>
      <x v="11"/>
    </i>
    <i r="1">
      <x v="4"/>
      <x/>
    </i>
    <i r="1">
      <x v="5"/>
      <x v="33"/>
    </i>
    <i r="2">
      <x v="47"/>
    </i>
    <i r="1">
      <x v="7"/>
      <x v="32"/>
    </i>
    <i r="1">
      <x v="8"/>
      <x v="2"/>
    </i>
    <i r="1">
      <x v="9"/>
      <x v="1"/>
    </i>
    <i r="2">
      <x v="31"/>
    </i>
    <i r="1">
      <x v="11"/>
      <x v="48"/>
    </i>
    <i r="1">
      <x v="12"/>
      <x v="15"/>
    </i>
    <i r="1">
      <x v="13"/>
      <x v="39"/>
    </i>
    <i r="1">
      <x v="14"/>
      <x v="13"/>
    </i>
    <i r="1">
      <x v="15"/>
      <x v="27"/>
    </i>
    <i r="2">
      <x v="40"/>
    </i>
    <i r="1">
      <x v="17"/>
      <x v="17"/>
    </i>
    <i r="2">
      <x v="30"/>
    </i>
    <i r="1">
      <x v="19"/>
      <x v="18"/>
    </i>
    <i t="blank">
      <x v="43"/>
    </i>
    <i>
      <x v="44"/>
    </i>
    <i r="1">
      <x/>
      <x v="37"/>
    </i>
    <i r="1">
      <x v="1"/>
      <x v="42"/>
    </i>
    <i r="1">
      <x v="2"/>
      <x v="44"/>
    </i>
    <i r="1">
      <x v="3"/>
      <x v="47"/>
    </i>
    <i r="1">
      <x v="4"/>
      <x v="33"/>
    </i>
    <i r="1">
      <x v="5"/>
      <x v="48"/>
    </i>
    <i r="1">
      <x v="6"/>
      <x/>
    </i>
    <i r="1">
      <x v="7"/>
      <x v="1"/>
    </i>
    <i r="1">
      <x v="8"/>
      <x v="31"/>
    </i>
    <i r="1">
      <x v="9"/>
      <x v="32"/>
    </i>
    <i r="1">
      <x v="10"/>
      <x v="2"/>
    </i>
    <i r="2">
      <x v="39"/>
    </i>
    <i r="1">
      <x v="12"/>
      <x v="30"/>
    </i>
    <i r="1">
      <x v="13"/>
      <x v="28"/>
    </i>
    <i r="1">
      <x v="14"/>
      <x v="45"/>
    </i>
    <i r="1">
      <x v="15"/>
      <x v="15"/>
    </i>
    <i r="2">
      <x v="29"/>
    </i>
    <i r="2">
      <x v="40"/>
    </i>
    <i r="1">
      <x v="18"/>
      <x v="5"/>
    </i>
    <i r="2">
      <x v="36"/>
    </i>
    <i t="blank">
      <x v="44"/>
    </i>
    <i>
      <x v="45"/>
    </i>
    <i r="1">
      <x/>
      <x v="37"/>
    </i>
    <i r="1">
      <x v="1"/>
      <x v="44"/>
    </i>
    <i r="1">
      <x v="2"/>
      <x v="42"/>
    </i>
    <i r="1">
      <x v="3"/>
      <x v="1"/>
    </i>
    <i r="1">
      <x v="4"/>
      <x/>
    </i>
    <i r="1">
      <x v="5"/>
      <x v="33"/>
    </i>
    <i r="1">
      <x v="6"/>
      <x v="2"/>
    </i>
    <i r="1">
      <x v="7"/>
      <x v="47"/>
    </i>
    <i r="1">
      <x v="8"/>
      <x v="32"/>
    </i>
    <i r="2">
      <x v="48"/>
    </i>
    <i r="1">
      <x v="10"/>
      <x v="15"/>
    </i>
    <i r="1">
      <x v="11"/>
      <x v="40"/>
    </i>
    <i r="1">
      <x v="12"/>
      <x v="13"/>
    </i>
    <i r="1">
      <x v="13"/>
      <x v="39"/>
    </i>
    <i r="1">
      <x v="14"/>
      <x v="17"/>
    </i>
    <i r="2">
      <x v="27"/>
    </i>
    <i r="1">
      <x v="16"/>
      <x v="49"/>
    </i>
    <i r="1">
      <x v="17"/>
      <x v="28"/>
    </i>
    <i r="2">
      <x v="30"/>
    </i>
    <i r="1">
      <x v="19"/>
      <x v="31"/>
    </i>
    <i t="blank">
      <x v="45"/>
    </i>
    <i>
      <x v="46"/>
    </i>
    <i r="1">
      <x/>
      <x v="37"/>
    </i>
    <i r="1">
      <x v="1"/>
      <x v="44"/>
    </i>
    <i r="1">
      <x v="2"/>
      <x/>
    </i>
    <i r="1">
      <x v="3"/>
      <x v="42"/>
    </i>
    <i r="1">
      <x v="4"/>
      <x v="47"/>
    </i>
    <i r="1">
      <x v="5"/>
      <x v="1"/>
    </i>
    <i r="1">
      <x v="6"/>
      <x v="33"/>
    </i>
    <i r="1">
      <x v="7"/>
      <x v="32"/>
    </i>
    <i r="2">
      <x v="48"/>
    </i>
    <i r="1">
      <x v="9"/>
      <x v="39"/>
    </i>
    <i r="1">
      <x v="10"/>
      <x v="2"/>
    </i>
    <i r="1">
      <x v="11"/>
      <x v="30"/>
    </i>
    <i r="1">
      <x v="12"/>
      <x v="31"/>
    </i>
    <i r="2">
      <x v="40"/>
    </i>
    <i r="1">
      <x v="14"/>
      <x v="29"/>
    </i>
    <i r="1">
      <x v="15"/>
      <x v="36"/>
    </i>
    <i r="1">
      <x v="16"/>
      <x v="49"/>
    </i>
    <i r="1">
      <x v="17"/>
      <x v="27"/>
    </i>
    <i r="1">
      <x v="18"/>
      <x v="45"/>
    </i>
    <i r="2">
      <x v="51"/>
    </i>
    <i t="blank">
      <x v="46"/>
    </i>
    <i>
      <x v="47"/>
    </i>
    <i r="1">
      <x/>
      <x v="42"/>
    </i>
    <i r="1">
      <x v="1"/>
      <x v="44"/>
    </i>
    <i r="1">
      <x v="2"/>
      <x v="33"/>
    </i>
    <i r="1">
      <x v="3"/>
      <x/>
    </i>
    <i r="1">
      <x v="4"/>
      <x v="31"/>
    </i>
    <i r="1">
      <x v="5"/>
      <x v="1"/>
    </i>
    <i r="1">
      <x v="6"/>
      <x v="32"/>
    </i>
    <i r="1">
      <x v="7"/>
      <x v="47"/>
    </i>
    <i r="1">
      <x v="8"/>
      <x v="30"/>
    </i>
    <i r="1">
      <x v="9"/>
      <x v="48"/>
    </i>
    <i r="1">
      <x v="10"/>
      <x v="2"/>
    </i>
    <i r="1">
      <x v="11"/>
      <x v="41"/>
    </i>
    <i r="1">
      <x v="12"/>
      <x v="37"/>
    </i>
    <i r="1">
      <x v="13"/>
      <x v="26"/>
    </i>
    <i r="2">
      <x v="55"/>
    </i>
    <i r="1">
      <x v="15"/>
      <x v="39"/>
    </i>
    <i r="1">
      <x v="16"/>
      <x v="40"/>
    </i>
    <i r="2">
      <x v="51"/>
    </i>
    <i r="1">
      <x v="18"/>
      <x v="27"/>
    </i>
    <i r="1">
      <x v="19"/>
      <x v="3"/>
    </i>
    <i r="2">
      <x v="29"/>
    </i>
    <i t="blank">
      <x v="47"/>
    </i>
    <i>
      <x v="48"/>
    </i>
    <i r="1">
      <x/>
      <x v="42"/>
    </i>
    <i r="1">
      <x v="1"/>
      <x v="44"/>
    </i>
    <i r="1">
      <x v="2"/>
      <x v="1"/>
    </i>
    <i r="1">
      <x v="3"/>
      <x/>
    </i>
    <i r="1">
      <x v="4"/>
      <x v="2"/>
    </i>
    <i r="1">
      <x v="5"/>
      <x v="37"/>
    </i>
    <i r="1">
      <x v="6"/>
      <x v="5"/>
    </i>
    <i r="1">
      <x v="7"/>
      <x v="47"/>
    </i>
    <i r="1">
      <x v="8"/>
      <x v="33"/>
    </i>
    <i r="2">
      <x v="48"/>
    </i>
    <i r="1">
      <x v="10"/>
      <x v="13"/>
    </i>
    <i r="1">
      <x v="11"/>
      <x v="32"/>
    </i>
    <i r="1">
      <x v="12"/>
      <x v="31"/>
    </i>
    <i r="1">
      <x v="13"/>
      <x v="27"/>
    </i>
    <i r="1">
      <x v="14"/>
      <x v="51"/>
    </i>
    <i r="1">
      <x v="15"/>
      <x v="15"/>
    </i>
    <i r="1">
      <x v="16"/>
      <x v="10"/>
    </i>
    <i r="2">
      <x v="30"/>
    </i>
    <i r="2">
      <x v="40"/>
    </i>
    <i r="1">
      <x v="19"/>
      <x v="29"/>
    </i>
    <i r="2">
      <x v="36"/>
    </i>
    <i t="blank">
      <x v="48"/>
    </i>
    <i>
      <x v="49"/>
    </i>
    <i r="1">
      <x/>
      <x v="42"/>
    </i>
    <i r="1">
      <x v="1"/>
      <x v="44"/>
    </i>
    <i r="1">
      <x v="2"/>
      <x v="37"/>
    </i>
    <i r="1">
      <x v="3"/>
      <x v="2"/>
    </i>
    <i r="1">
      <x v="4"/>
      <x v="33"/>
    </i>
    <i r="1">
      <x v="5"/>
      <x v="1"/>
    </i>
    <i r="1">
      <x v="6"/>
      <x/>
    </i>
    <i r="1">
      <x v="7"/>
      <x v="32"/>
    </i>
    <i r="1">
      <x v="8"/>
      <x v="48"/>
    </i>
    <i r="1">
      <x v="9"/>
      <x v="31"/>
    </i>
    <i r="1">
      <x v="10"/>
      <x v="47"/>
    </i>
    <i r="1">
      <x v="11"/>
      <x v="28"/>
    </i>
    <i r="1">
      <x v="12"/>
      <x v="15"/>
    </i>
    <i r="1">
      <x v="13"/>
      <x v="39"/>
    </i>
    <i r="1">
      <x v="14"/>
      <x v="13"/>
    </i>
    <i r="1">
      <x v="15"/>
      <x v="27"/>
    </i>
    <i r="1">
      <x v="16"/>
      <x v="5"/>
    </i>
    <i r="1">
      <x v="17"/>
      <x v="10"/>
    </i>
    <i r="1">
      <x v="18"/>
      <x v="29"/>
    </i>
    <i r="1">
      <x v="19"/>
      <x v="36"/>
    </i>
    <i r="2">
      <x v="51"/>
    </i>
    <i t="blank">
      <x v="49"/>
    </i>
    <i>
      <x v="50"/>
    </i>
    <i r="1">
      <x/>
      <x v="37"/>
    </i>
    <i r="1">
      <x v="1"/>
      <x v="42"/>
    </i>
    <i r="1">
      <x v="2"/>
      <x v="44"/>
    </i>
    <i r="1">
      <x v="3"/>
      <x v="1"/>
    </i>
    <i r="1">
      <x v="4"/>
      <x v="2"/>
    </i>
    <i r="1">
      <x v="5"/>
      <x/>
    </i>
    <i r="2">
      <x v="33"/>
    </i>
    <i r="1">
      <x v="7"/>
      <x v="47"/>
    </i>
    <i r="1">
      <x v="8"/>
      <x v="32"/>
    </i>
    <i r="1">
      <x v="9"/>
      <x v="48"/>
    </i>
    <i r="1">
      <x v="10"/>
      <x v="13"/>
    </i>
    <i r="1">
      <x v="11"/>
      <x v="5"/>
    </i>
    <i r="1">
      <x v="12"/>
      <x v="15"/>
    </i>
    <i r="1">
      <x v="13"/>
      <x v="40"/>
    </i>
    <i r="1">
      <x v="14"/>
      <x v="27"/>
    </i>
    <i r="2">
      <x v="31"/>
    </i>
    <i r="1">
      <x v="16"/>
      <x v="10"/>
    </i>
    <i r="2">
      <x v="51"/>
    </i>
    <i r="1">
      <x v="18"/>
      <x v="28"/>
    </i>
    <i r="1">
      <x v="19"/>
      <x v="39"/>
    </i>
    <i t="blank">
      <x v="50"/>
    </i>
    <i>
      <x v="51"/>
    </i>
    <i r="1">
      <x/>
      <x v="42"/>
    </i>
    <i r="1">
      <x v="1"/>
      <x v="44"/>
    </i>
    <i r="1">
      <x v="2"/>
      <x v="37"/>
    </i>
    <i r="1">
      <x v="3"/>
      <x/>
    </i>
    <i r="1">
      <x v="4"/>
      <x v="33"/>
    </i>
    <i r="1">
      <x v="5"/>
      <x v="1"/>
    </i>
    <i r="2">
      <x v="47"/>
    </i>
    <i r="1">
      <x v="7"/>
      <x v="32"/>
    </i>
    <i r="2">
      <x v="46"/>
    </i>
    <i r="1">
      <x v="9"/>
      <x v="13"/>
    </i>
    <i r="1">
      <x v="10"/>
      <x v="2"/>
    </i>
    <i r="1">
      <x v="11"/>
      <x v="48"/>
    </i>
    <i r="1">
      <x v="12"/>
      <x v="27"/>
    </i>
    <i r="1">
      <x v="13"/>
      <x v="31"/>
    </i>
    <i r="1">
      <x v="14"/>
      <x v="15"/>
    </i>
    <i r="1">
      <x v="15"/>
      <x v="45"/>
    </i>
    <i r="1">
      <x v="16"/>
      <x v="7"/>
    </i>
    <i r="2">
      <x v="49"/>
    </i>
    <i r="1">
      <x v="18"/>
      <x v="40"/>
    </i>
    <i r="1">
      <x v="19"/>
      <x v="28"/>
    </i>
    <i r="2">
      <x v="43"/>
    </i>
    <i t="blank">
      <x v="51"/>
    </i>
    <i>
      <x v="52"/>
    </i>
    <i r="1">
      <x/>
      <x v="37"/>
    </i>
    <i r="1">
      <x v="1"/>
      <x v="44"/>
    </i>
    <i r="1">
      <x v="2"/>
      <x/>
    </i>
    <i r="1">
      <x v="3"/>
      <x v="42"/>
    </i>
    <i r="1">
      <x v="4"/>
      <x v="33"/>
    </i>
    <i r="1">
      <x v="5"/>
      <x v="47"/>
    </i>
    <i r="1">
      <x v="6"/>
      <x v="1"/>
    </i>
    <i r="1">
      <x v="7"/>
      <x v="48"/>
    </i>
    <i r="1">
      <x v="8"/>
      <x v="49"/>
    </i>
    <i r="1">
      <x v="9"/>
      <x v="2"/>
    </i>
    <i r="1">
      <x v="10"/>
      <x v="13"/>
    </i>
    <i r="1">
      <x v="11"/>
      <x v="15"/>
    </i>
    <i r="1">
      <x v="12"/>
      <x v="32"/>
    </i>
    <i r="1">
      <x v="13"/>
      <x v="39"/>
    </i>
    <i r="1">
      <x v="14"/>
      <x v="31"/>
    </i>
    <i r="1">
      <x v="15"/>
      <x v="30"/>
    </i>
    <i r="1">
      <x v="16"/>
      <x v="51"/>
    </i>
    <i r="1">
      <x v="17"/>
      <x v="45"/>
    </i>
    <i r="1">
      <x v="18"/>
      <x v="7"/>
    </i>
    <i r="2">
      <x v="27"/>
    </i>
    <i r="2">
      <x v="43"/>
    </i>
    <i t="blank">
      <x v="52"/>
    </i>
    <i>
      <x v="53"/>
    </i>
    <i r="1">
      <x/>
      <x v="44"/>
    </i>
    <i r="1">
      <x v="1"/>
      <x v="1"/>
    </i>
    <i r="1">
      <x v="2"/>
      <x v="37"/>
    </i>
    <i r="1">
      <x v="3"/>
      <x v="42"/>
    </i>
    <i r="1">
      <x v="4"/>
      <x v="2"/>
    </i>
    <i r="1">
      <x v="5"/>
      <x/>
    </i>
    <i r="1">
      <x v="6"/>
      <x v="13"/>
    </i>
    <i r="1">
      <x v="7"/>
      <x v="33"/>
    </i>
    <i r="1">
      <x v="8"/>
      <x v="32"/>
    </i>
    <i r="1">
      <x v="9"/>
      <x v="47"/>
    </i>
    <i r="1">
      <x v="10"/>
      <x v="48"/>
    </i>
    <i r="1">
      <x v="11"/>
      <x v="15"/>
    </i>
    <i r="1">
      <x v="12"/>
      <x v="18"/>
    </i>
    <i r="1">
      <x v="13"/>
      <x v="27"/>
    </i>
    <i r="1">
      <x v="14"/>
      <x v="31"/>
    </i>
    <i r="1">
      <x v="15"/>
      <x v="29"/>
    </i>
    <i r="2">
      <x v="49"/>
    </i>
    <i r="1">
      <x v="17"/>
      <x v="10"/>
    </i>
    <i r="2">
      <x v="40"/>
    </i>
    <i r="2">
      <x v="45"/>
    </i>
    <i t="blank">
      <x v="53"/>
    </i>
    <i>
      <x v="54"/>
    </i>
    <i r="1">
      <x/>
      <x v="37"/>
    </i>
    <i r="1">
      <x v="1"/>
      <x v="44"/>
    </i>
    <i r="1">
      <x v="2"/>
      <x/>
    </i>
    <i r="1">
      <x v="3"/>
      <x v="47"/>
    </i>
    <i r="1">
      <x v="4"/>
      <x v="42"/>
    </i>
    <i r="1">
      <x v="5"/>
      <x v="33"/>
    </i>
    <i r="1">
      <x v="6"/>
      <x v="1"/>
    </i>
    <i r="1">
      <x v="7"/>
      <x v="39"/>
    </i>
    <i r="1">
      <x v="8"/>
      <x v="2"/>
    </i>
    <i r="1">
      <x v="9"/>
      <x v="32"/>
    </i>
    <i r="1">
      <x v="10"/>
      <x v="30"/>
    </i>
    <i r="1">
      <x v="11"/>
      <x v="28"/>
    </i>
    <i r="1">
      <x v="12"/>
      <x v="48"/>
    </i>
    <i r="1">
      <x v="13"/>
      <x v="40"/>
    </i>
    <i r="1">
      <x v="14"/>
      <x v="36"/>
    </i>
    <i r="1">
      <x v="15"/>
      <x v="31"/>
    </i>
    <i r="1">
      <x v="16"/>
      <x v="51"/>
    </i>
    <i r="1">
      <x v="17"/>
      <x v="27"/>
    </i>
    <i r="1">
      <x v="18"/>
      <x v="54"/>
    </i>
    <i r="1">
      <x v="19"/>
      <x v="45"/>
    </i>
    <i t="blank">
      <x v="54"/>
    </i>
    <i>
      <x v="55"/>
    </i>
    <i r="1">
      <x/>
      <x v="44"/>
    </i>
    <i r="1">
      <x v="1"/>
      <x v="33"/>
    </i>
    <i r="1">
      <x v="2"/>
      <x v="1"/>
    </i>
    <i r="1">
      <x v="3"/>
      <x v="42"/>
    </i>
    <i r="1">
      <x v="4"/>
      <x/>
    </i>
    <i r="1">
      <x v="5"/>
      <x v="47"/>
    </i>
    <i r="1">
      <x v="6"/>
      <x v="2"/>
    </i>
    <i r="1">
      <x v="7"/>
      <x v="32"/>
    </i>
    <i r="1">
      <x v="8"/>
      <x v="30"/>
    </i>
    <i r="1">
      <x v="9"/>
      <x v="48"/>
    </i>
    <i r="1">
      <x v="10"/>
      <x v="37"/>
    </i>
    <i r="1">
      <x v="11"/>
      <x v="39"/>
    </i>
    <i r="1">
      <x v="12"/>
      <x v="15"/>
    </i>
    <i r="1">
      <x v="13"/>
      <x v="13"/>
    </i>
    <i r="2">
      <x v="28"/>
    </i>
    <i r="1">
      <x v="15"/>
      <x v="17"/>
    </i>
    <i r="2">
      <x v="40"/>
    </i>
    <i r="1">
      <x v="17"/>
      <x v="31"/>
    </i>
    <i r="2">
      <x v="51"/>
    </i>
    <i r="1">
      <x v="19"/>
      <x v="54"/>
    </i>
    <i t="blank">
      <x v="55"/>
    </i>
    <i>
      <x v="56"/>
    </i>
    <i r="1">
      <x/>
      <x v="37"/>
    </i>
    <i r="1">
      <x v="1"/>
      <x v="42"/>
    </i>
    <i r="1">
      <x v="2"/>
      <x v="26"/>
    </i>
    <i r="1">
      <x v="3"/>
      <x v="44"/>
    </i>
    <i r="1">
      <x v="4"/>
      <x v="1"/>
    </i>
    <i r="1">
      <x v="5"/>
      <x v="33"/>
    </i>
    <i r="1">
      <x v="6"/>
      <x v="32"/>
    </i>
    <i r="1">
      <x v="7"/>
      <x v="30"/>
    </i>
    <i r="1">
      <x v="8"/>
      <x/>
    </i>
    <i r="2">
      <x v="2"/>
    </i>
    <i r="1">
      <x v="10"/>
      <x v="39"/>
    </i>
    <i r="1">
      <x v="11"/>
      <x v="47"/>
    </i>
    <i r="1">
      <x v="12"/>
      <x v="3"/>
    </i>
    <i r="2">
      <x v="27"/>
    </i>
    <i r="2">
      <x v="29"/>
    </i>
    <i r="2">
      <x v="31"/>
    </i>
    <i r="2">
      <x v="36"/>
    </i>
    <i r="1">
      <x v="17"/>
      <x v="15"/>
    </i>
    <i r="2">
      <x v="40"/>
    </i>
    <i r="2">
      <x v="48"/>
    </i>
    <i r="2">
      <x v="51"/>
    </i>
    <i r="2">
      <x v="54"/>
    </i>
    <i t="blank">
      <x v="56"/>
    </i>
    <i>
      <x v="57"/>
    </i>
    <i r="1">
      <x/>
      <x v="42"/>
    </i>
    <i r="1">
      <x v="1"/>
      <x v="15"/>
    </i>
    <i r="1">
      <x v="2"/>
      <x v="1"/>
    </i>
    <i r="2">
      <x v="44"/>
    </i>
    <i r="1">
      <x v="4"/>
      <x/>
    </i>
    <i r="2">
      <x v="47"/>
    </i>
    <i r="1">
      <x v="6"/>
      <x v="27"/>
    </i>
    <i r="1">
      <x v="7"/>
      <x v="33"/>
    </i>
    <i r="1">
      <x v="8"/>
      <x v="2"/>
    </i>
    <i r="2">
      <x v="13"/>
    </i>
    <i r="1">
      <x v="10"/>
      <x v="51"/>
    </i>
    <i r="1">
      <x v="11"/>
      <x v="31"/>
    </i>
    <i r="2">
      <x v="32"/>
    </i>
    <i r="2">
      <x v="48"/>
    </i>
    <i r="2">
      <x v="49"/>
    </i>
    <i r="1">
      <x v="15"/>
      <x v="30"/>
    </i>
    <i r="1">
      <x v="16"/>
      <x v="37"/>
    </i>
    <i r="1">
      <x v="17"/>
      <x v="28"/>
    </i>
    <i r="2">
      <x v="40"/>
    </i>
    <i r="1">
      <x v="19"/>
      <x v="16"/>
    </i>
    <i r="2">
      <x v="45"/>
    </i>
    <i t="blank">
      <x v="57"/>
    </i>
    <i>
      <x v="58"/>
    </i>
    <i r="1">
      <x/>
      <x v="42"/>
    </i>
    <i r="1">
      <x v="1"/>
      <x v="44"/>
    </i>
    <i r="1">
      <x v="2"/>
      <x v="37"/>
    </i>
    <i r="2">
      <x v="47"/>
    </i>
    <i r="1">
      <x v="4"/>
      <x v="33"/>
    </i>
    <i r="1">
      <x v="5"/>
      <x v="48"/>
    </i>
    <i r="1">
      <x v="6"/>
      <x v="1"/>
    </i>
    <i r="1">
      <x v="7"/>
      <x/>
    </i>
    <i r="1">
      <x v="8"/>
      <x v="30"/>
    </i>
    <i r="2">
      <x v="32"/>
    </i>
    <i r="1">
      <x v="10"/>
      <x v="13"/>
    </i>
    <i r="2">
      <x v="45"/>
    </i>
    <i r="1">
      <x v="12"/>
      <x v="31"/>
    </i>
    <i r="2">
      <x v="40"/>
    </i>
    <i r="1">
      <x v="14"/>
      <x v="39"/>
    </i>
    <i r="1">
      <x v="15"/>
      <x v="15"/>
    </i>
    <i r="1">
      <x v="16"/>
      <x v="2"/>
    </i>
    <i r="1">
      <x v="17"/>
      <x v="36"/>
    </i>
    <i r="1">
      <x v="18"/>
      <x v="28"/>
    </i>
    <i r="1">
      <x v="19"/>
      <x v="27"/>
    </i>
    <i t="blank">
      <x v="58"/>
    </i>
    <i>
      <x v="59"/>
    </i>
    <i r="1">
      <x/>
      <x v="37"/>
    </i>
    <i r="1">
      <x v="1"/>
      <x v="2"/>
    </i>
    <i r="2">
      <x v="42"/>
    </i>
    <i r="2">
      <x v="44"/>
    </i>
    <i r="1">
      <x v="4"/>
      <x v="1"/>
    </i>
    <i r="1">
      <x v="5"/>
      <x/>
    </i>
    <i r="1">
      <x v="6"/>
      <x v="47"/>
    </i>
    <i r="1">
      <x v="7"/>
      <x v="33"/>
    </i>
    <i r="1">
      <x v="8"/>
      <x v="15"/>
    </i>
    <i r="2">
      <x v="28"/>
    </i>
    <i r="2">
      <x v="32"/>
    </i>
    <i r="1">
      <x v="11"/>
      <x v="13"/>
    </i>
    <i r="2">
      <x v="29"/>
    </i>
    <i r="1">
      <x v="13"/>
      <x v="5"/>
    </i>
    <i r="2">
      <x v="39"/>
    </i>
    <i r="1">
      <x v="15"/>
      <x v="31"/>
    </i>
    <i r="2">
      <x v="36"/>
    </i>
    <i r="2">
      <x v="51"/>
    </i>
    <i r="1">
      <x v="18"/>
      <x v="27"/>
    </i>
    <i r="2">
      <x v="40"/>
    </i>
    <i r="2">
      <x v="48"/>
    </i>
    <i t="blank">
      <x v="59"/>
    </i>
    <i>
      <x v="60"/>
    </i>
    <i r="1">
      <x/>
      <x v="42"/>
    </i>
    <i r="1">
      <x v="1"/>
      <x v="44"/>
    </i>
    <i r="1">
      <x v="2"/>
      <x v="37"/>
    </i>
    <i r="1">
      <x v="3"/>
      <x/>
    </i>
    <i r="1">
      <x v="4"/>
      <x v="33"/>
    </i>
    <i r="1">
      <x v="5"/>
      <x v="47"/>
    </i>
    <i r="1">
      <x v="6"/>
      <x v="48"/>
    </i>
    <i r="1">
      <x v="7"/>
      <x v="1"/>
    </i>
    <i r="2">
      <x v="2"/>
    </i>
    <i r="1">
      <x v="9"/>
      <x v="39"/>
    </i>
    <i r="1">
      <x v="10"/>
      <x v="30"/>
    </i>
    <i r="1">
      <x v="11"/>
      <x v="31"/>
    </i>
    <i r="1">
      <x v="12"/>
      <x v="32"/>
    </i>
    <i r="1">
      <x v="13"/>
      <x v="13"/>
    </i>
    <i r="1">
      <x v="14"/>
      <x v="27"/>
    </i>
    <i r="1">
      <x v="15"/>
      <x v="28"/>
    </i>
    <i r="2">
      <x v="45"/>
    </i>
    <i r="2">
      <x v="49"/>
    </i>
    <i r="1">
      <x v="18"/>
      <x v="15"/>
    </i>
    <i r="1">
      <x v="19"/>
      <x v="36"/>
    </i>
    <i r="2">
      <x v="40"/>
    </i>
    <i t="blank">
      <x v="60"/>
    </i>
    <i>
      <x v="61"/>
    </i>
    <i r="1">
      <x/>
      <x v="24"/>
    </i>
    <i r="1">
      <x v="1"/>
      <x v="13"/>
    </i>
    <i r="2">
      <x v="27"/>
    </i>
    <i r="1">
      <x v="3"/>
      <x v="33"/>
    </i>
    <i r="1">
      <x v="4"/>
      <x v="23"/>
    </i>
    <i r="1">
      <x v="5"/>
      <x v="42"/>
    </i>
    <i r="1">
      <x v="6"/>
      <x/>
    </i>
    <i r="1">
      <x v="7"/>
      <x v="50"/>
    </i>
    <i r="1">
      <x v="8"/>
      <x v="1"/>
    </i>
    <i r="2">
      <x v="28"/>
    </i>
    <i r="2">
      <x v="37"/>
    </i>
    <i r="1">
      <x v="11"/>
      <x v="51"/>
    </i>
    <i r="1">
      <x v="12"/>
      <x v="6"/>
    </i>
    <i r="2">
      <x v="12"/>
    </i>
    <i r="2">
      <x v="54"/>
    </i>
    <i r="1">
      <x v="15"/>
      <x v="17"/>
    </i>
    <i r="2">
      <x v="22"/>
    </i>
    <i r="1">
      <x v="17"/>
      <x v="32"/>
    </i>
    <i r="2">
      <x v="47"/>
    </i>
    <i r="1">
      <x v="19"/>
      <x v="2"/>
    </i>
    <i t="blank">
      <x v="61"/>
    </i>
    <i>
      <x v="62"/>
    </i>
    <i r="1">
      <x/>
      <x v="44"/>
    </i>
    <i r="1">
      <x v="1"/>
      <x v="42"/>
    </i>
    <i r="1">
      <x v="2"/>
      <x v="1"/>
    </i>
    <i r="1">
      <x v="3"/>
      <x/>
    </i>
    <i r="1">
      <x v="4"/>
      <x v="32"/>
    </i>
    <i r="1">
      <x v="5"/>
      <x v="33"/>
    </i>
    <i r="1">
      <x v="6"/>
      <x v="31"/>
    </i>
    <i r="1">
      <x v="7"/>
      <x v="48"/>
    </i>
    <i r="1">
      <x v="8"/>
      <x v="2"/>
    </i>
    <i r="2">
      <x v="47"/>
    </i>
    <i r="1">
      <x v="10"/>
      <x v="39"/>
    </i>
    <i r="1">
      <x v="11"/>
      <x v="30"/>
    </i>
    <i r="2">
      <x v="37"/>
    </i>
    <i r="1">
      <x v="13"/>
      <x v="49"/>
    </i>
    <i r="1">
      <x v="14"/>
      <x v="45"/>
    </i>
    <i r="1">
      <x v="15"/>
      <x v="34"/>
    </i>
    <i r="2">
      <x v="51"/>
    </i>
    <i r="1">
      <x v="17"/>
      <x v="29"/>
    </i>
    <i r="1">
      <x v="18"/>
      <x v="40"/>
    </i>
    <i r="2">
      <x v="52"/>
    </i>
    <i t="blank">
      <x v="62"/>
    </i>
    <i>
      <x v="63"/>
    </i>
    <i r="1">
      <x/>
      <x v="37"/>
    </i>
    <i r="1">
      <x v="1"/>
      <x v="44"/>
    </i>
    <i r="1">
      <x v="2"/>
      <x v="42"/>
    </i>
    <i r="1">
      <x v="3"/>
      <x v="33"/>
    </i>
    <i r="1">
      <x v="4"/>
      <x/>
    </i>
    <i r="1">
      <x v="5"/>
      <x v="2"/>
    </i>
    <i r="2">
      <x v="47"/>
    </i>
    <i r="2">
      <x v="48"/>
    </i>
    <i r="1">
      <x v="8"/>
      <x v="1"/>
    </i>
    <i r="1">
      <x v="9"/>
      <x v="30"/>
    </i>
    <i r="1">
      <x v="10"/>
      <x v="31"/>
    </i>
    <i r="1">
      <x v="11"/>
      <x v="15"/>
    </i>
    <i r="1">
      <x v="12"/>
      <x v="32"/>
    </i>
    <i r="1">
      <x v="13"/>
      <x v="17"/>
    </i>
    <i r="2">
      <x v="39"/>
    </i>
    <i r="1">
      <x v="15"/>
      <x v="40"/>
    </i>
    <i r="2">
      <x v="49"/>
    </i>
    <i r="1">
      <x v="17"/>
      <x v="45"/>
    </i>
    <i r="1">
      <x v="18"/>
      <x v="10"/>
    </i>
    <i r="2">
      <x v="13"/>
    </i>
    <i t="blank">
      <x v="63"/>
    </i>
    <i>
      <x v="64"/>
    </i>
    <i r="1">
      <x/>
      <x v="41"/>
    </i>
    <i r="1">
      <x v="1"/>
      <x v="42"/>
    </i>
    <i r="1">
      <x v="2"/>
      <x v="31"/>
    </i>
    <i r="1">
      <x v="3"/>
      <x v="33"/>
    </i>
    <i r="1">
      <x v="4"/>
      <x v="3"/>
    </i>
    <i r="1">
      <x v="5"/>
      <x v="44"/>
    </i>
    <i r="1">
      <x v="6"/>
      <x v="1"/>
    </i>
    <i r="1">
      <x v="7"/>
      <x v="46"/>
    </i>
    <i r="1">
      <x v="8"/>
      <x v="32"/>
    </i>
    <i r="1">
      <x v="9"/>
      <x/>
    </i>
    <i r="1">
      <x v="10"/>
      <x v="2"/>
    </i>
    <i r="1">
      <x v="11"/>
      <x v="26"/>
    </i>
    <i r="1">
      <x v="12"/>
      <x v="48"/>
    </i>
    <i r="1">
      <x v="13"/>
      <x v="10"/>
    </i>
    <i r="1">
      <x v="14"/>
      <x v="47"/>
    </i>
    <i r="1">
      <x v="15"/>
      <x v="30"/>
    </i>
    <i r="2">
      <x v="37"/>
    </i>
    <i r="2">
      <x v="51"/>
    </i>
    <i r="1">
      <x v="18"/>
      <x v="27"/>
    </i>
    <i r="1">
      <x v="19"/>
      <x v="22"/>
    </i>
    <i r="2">
      <x v="39"/>
    </i>
    <i r="2">
      <x v="40"/>
    </i>
    <i t="blank">
      <x v="64"/>
    </i>
    <i>
      <x v="65"/>
    </i>
    <i r="1">
      <x/>
      <x v="37"/>
    </i>
    <i r="1">
      <x v="1"/>
      <x v="44"/>
    </i>
    <i r="1">
      <x v="2"/>
      <x/>
    </i>
    <i r="2">
      <x v="42"/>
    </i>
    <i r="1">
      <x v="4"/>
      <x v="1"/>
    </i>
    <i r="2">
      <x v="47"/>
    </i>
    <i r="1">
      <x v="6"/>
      <x v="33"/>
    </i>
    <i r="1">
      <x v="7"/>
      <x v="31"/>
    </i>
    <i r="1">
      <x v="8"/>
      <x v="2"/>
    </i>
    <i r="1">
      <x v="9"/>
      <x v="32"/>
    </i>
    <i r="1">
      <x v="10"/>
      <x v="40"/>
    </i>
    <i r="1">
      <x v="11"/>
      <x v="48"/>
    </i>
    <i r="1">
      <x v="12"/>
      <x v="41"/>
    </i>
    <i r="1">
      <x v="13"/>
      <x v="30"/>
    </i>
    <i r="1">
      <x v="14"/>
      <x v="36"/>
    </i>
    <i r="1">
      <x v="15"/>
      <x v="13"/>
    </i>
    <i r="2">
      <x v="39"/>
    </i>
    <i r="1">
      <x v="17"/>
      <x v="51"/>
    </i>
    <i r="1">
      <x v="18"/>
      <x v="11"/>
    </i>
    <i r="2">
      <x v="26"/>
    </i>
    <i t="blank">
      <x v="65"/>
    </i>
    <i>
      <x v="66"/>
    </i>
    <i r="1">
      <x/>
      <x v="44"/>
    </i>
    <i r="1">
      <x v="1"/>
      <x v="42"/>
    </i>
    <i r="1">
      <x v="2"/>
      <x/>
    </i>
    <i r="1">
      <x v="3"/>
      <x v="47"/>
    </i>
    <i r="1">
      <x v="4"/>
      <x v="37"/>
    </i>
    <i r="1">
      <x v="5"/>
      <x v="1"/>
    </i>
    <i r="1">
      <x v="6"/>
      <x v="32"/>
    </i>
    <i r="1">
      <x v="7"/>
      <x v="33"/>
    </i>
    <i r="1">
      <x v="8"/>
      <x v="2"/>
    </i>
    <i r="1">
      <x v="9"/>
      <x v="48"/>
    </i>
    <i r="1">
      <x v="10"/>
      <x v="31"/>
    </i>
    <i r="1">
      <x v="11"/>
      <x v="40"/>
    </i>
    <i r="1">
      <x v="12"/>
      <x v="13"/>
    </i>
    <i r="2">
      <x v="51"/>
    </i>
    <i r="1">
      <x v="14"/>
      <x v="39"/>
    </i>
    <i r="1">
      <x v="15"/>
      <x v="15"/>
    </i>
    <i r="1">
      <x v="16"/>
      <x v="30"/>
    </i>
    <i r="2">
      <x v="36"/>
    </i>
    <i r="2">
      <x v="54"/>
    </i>
    <i r="1">
      <x v="19"/>
      <x v="27"/>
    </i>
    <i r="2">
      <x v="43"/>
    </i>
    <i r="2">
      <x v="45"/>
    </i>
    <i t="blank">
      <x v="66"/>
    </i>
    <i>
      <x v="67"/>
    </i>
    <i r="1">
      <x/>
      <x v="44"/>
    </i>
    <i r="1">
      <x v="1"/>
      <x v="1"/>
    </i>
    <i r="1">
      <x v="2"/>
      <x v="42"/>
    </i>
    <i r="1">
      <x v="3"/>
      <x/>
    </i>
    <i r="1">
      <x v="4"/>
      <x v="33"/>
    </i>
    <i r="1">
      <x v="5"/>
      <x v="47"/>
    </i>
    <i r="1">
      <x v="6"/>
      <x v="37"/>
    </i>
    <i r="1">
      <x v="7"/>
      <x v="2"/>
    </i>
    <i r="2">
      <x v="32"/>
    </i>
    <i r="1">
      <x v="9"/>
      <x v="31"/>
    </i>
    <i r="1">
      <x v="10"/>
      <x v="13"/>
    </i>
    <i r="2">
      <x v="39"/>
    </i>
    <i r="1">
      <x v="12"/>
      <x v="48"/>
    </i>
    <i r="1">
      <x v="13"/>
      <x v="5"/>
    </i>
    <i r="2">
      <x v="40"/>
    </i>
    <i r="1">
      <x v="15"/>
      <x v="15"/>
    </i>
    <i r="2">
      <x v="28"/>
    </i>
    <i r="1">
      <x v="17"/>
      <x v="49"/>
    </i>
    <i r="1">
      <x v="18"/>
      <x v="27"/>
    </i>
    <i r="2">
      <x v="30"/>
    </i>
    <i r="2">
      <x v="45"/>
    </i>
    <i r="2">
      <x v="46"/>
    </i>
    <i r="2">
      <x v="51"/>
    </i>
    <i t="blank">
      <x v="67"/>
    </i>
    <i>
      <x v="68"/>
    </i>
    <i r="1">
      <x/>
      <x v="33"/>
    </i>
    <i r="2">
      <x v="44"/>
    </i>
    <i r="1">
      <x v="2"/>
      <x/>
    </i>
    <i r="1">
      <x v="3"/>
      <x v="1"/>
    </i>
    <i r="2">
      <x v="42"/>
    </i>
    <i r="1">
      <x v="5"/>
      <x v="2"/>
    </i>
    <i r="2">
      <x v="31"/>
    </i>
    <i r="1">
      <x v="7"/>
      <x v="41"/>
    </i>
    <i r="2">
      <x v="48"/>
    </i>
    <i r="1">
      <x v="9"/>
      <x v="32"/>
    </i>
    <i r="1">
      <x v="10"/>
      <x v="30"/>
    </i>
    <i r="1">
      <x v="11"/>
      <x v="7"/>
    </i>
    <i r="2">
      <x v="39"/>
    </i>
    <i r="2">
      <x v="46"/>
    </i>
    <i r="1">
      <x v="14"/>
      <x v="3"/>
    </i>
    <i r="2">
      <x v="6"/>
    </i>
    <i r="2">
      <x v="21"/>
    </i>
    <i r="2">
      <x v="27"/>
    </i>
    <i r="2">
      <x v="40"/>
    </i>
    <i r="2">
      <x v="43"/>
    </i>
    <i r="2">
      <x v="45"/>
    </i>
    <i r="2">
      <x v="50"/>
    </i>
    <i r="2">
      <x v="54"/>
    </i>
    <i t="blank">
      <x v="68"/>
    </i>
    <i>
      <x v="69"/>
    </i>
    <i r="1">
      <x/>
      <x v="42"/>
    </i>
    <i r="1">
      <x v="1"/>
      <x/>
    </i>
    <i r="1">
      <x v="2"/>
      <x v="31"/>
    </i>
    <i r="2">
      <x v="33"/>
    </i>
    <i r="1">
      <x v="4"/>
      <x v="44"/>
    </i>
    <i r="1">
      <x v="5"/>
      <x v="32"/>
    </i>
    <i r="1">
      <x v="6"/>
      <x v="1"/>
    </i>
    <i r="2">
      <x v="2"/>
    </i>
    <i r="1">
      <x v="8"/>
      <x v="47"/>
    </i>
    <i r="2">
      <x v="48"/>
    </i>
    <i r="1">
      <x v="10"/>
      <x v="41"/>
    </i>
    <i r="1">
      <x v="11"/>
      <x v="30"/>
    </i>
    <i r="2">
      <x v="40"/>
    </i>
    <i r="1">
      <x v="13"/>
      <x v="3"/>
    </i>
    <i r="2">
      <x v="4"/>
    </i>
    <i r="2">
      <x v="6"/>
    </i>
    <i r="2">
      <x v="18"/>
    </i>
    <i r="2">
      <x v="26"/>
    </i>
    <i r="2">
      <x v="46"/>
    </i>
    <i r="1">
      <x v="19"/>
      <x v="7"/>
    </i>
    <i r="2">
      <x v="9"/>
    </i>
    <i r="2">
      <x v="19"/>
    </i>
    <i r="2">
      <x v="22"/>
    </i>
    <i r="2">
      <x v="24"/>
    </i>
    <i r="2">
      <x v="28"/>
    </i>
    <i r="2">
      <x v="29"/>
    </i>
    <i r="2">
      <x v="36"/>
    </i>
    <i r="2">
      <x v="37"/>
    </i>
    <i r="2">
      <x v="38"/>
    </i>
    <i r="2">
      <x v="39"/>
    </i>
    <i r="2">
      <x v="49"/>
    </i>
    <i r="2">
      <x v="53"/>
    </i>
    <i r="2">
      <x v="54"/>
    </i>
    <i t="blank">
      <x v="69"/>
    </i>
    <i>
      <x v="70"/>
    </i>
    <i r="1">
      <x/>
      <x v="31"/>
    </i>
    <i r="1">
      <x v="1"/>
      <x/>
    </i>
    <i r="1">
      <x v="2"/>
      <x v="33"/>
    </i>
    <i r="2">
      <x v="41"/>
    </i>
    <i r="2">
      <x v="42"/>
    </i>
    <i r="1">
      <x v="5"/>
      <x v="3"/>
    </i>
    <i r="2">
      <x v="11"/>
    </i>
    <i r="2">
      <x v="37"/>
    </i>
    <i r="2">
      <x v="44"/>
    </i>
    <i r="2">
      <x v="53"/>
    </i>
    <i r="1">
      <x v="10"/>
      <x v="4"/>
    </i>
    <i r="2">
      <x v="6"/>
    </i>
    <i r="2">
      <x v="17"/>
    </i>
    <i r="2">
      <x v="18"/>
    </i>
    <i r="2">
      <x v="24"/>
    </i>
    <i r="2">
      <x v="30"/>
    </i>
    <i r="2">
      <x v="32"/>
    </i>
    <i r="2">
      <x v="34"/>
    </i>
    <i r="2">
      <x v="43"/>
    </i>
    <i r="2">
      <x v="46"/>
    </i>
    <i r="2">
      <x v="48"/>
    </i>
    <i t="blank">
      <x v="7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27">
      <pivotArea field="2" type="button" dataOnly="0" labelOnly="1" outline="0" axis="axisRow" fieldPosition="0"/>
    </format>
    <format dxfId="1026">
      <pivotArea outline="0" fieldPosition="0">
        <references count="1">
          <reference field="4294967294" count="1">
            <x v="0"/>
          </reference>
        </references>
      </pivotArea>
    </format>
    <format dxfId="1025">
      <pivotArea outline="0" fieldPosition="0">
        <references count="1">
          <reference field="4294967294" count="1">
            <x v="1"/>
          </reference>
        </references>
      </pivotArea>
    </format>
    <format dxfId="1024">
      <pivotArea outline="0" fieldPosition="0">
        <references count="1">
          <reference field="4294967294" count="1">
            <x v="2"/>
          </reference>
        </references>
      </pivotArea>
    </format>
    <format dxfId="1023">
      <pivotArea outline="0" fieldPosition="0">
        <references count="1">
          <reference field="4294967294" count="1">
            <x v="3"/>
          </reference>
        </references>
      </pivotArea>
    </format>
    <format dxfId="1022">
      <pivotArea outline="0" fieldPosition="0">
        <references count="1">
          <reference field="4294967294" count="1">
            <x v="4"/>
          </reference>
        </references>
      </pivotArea>
    </format>
    <format dxfId="1021">
      <pivotArea outline="0" fieldPosition="0">
        <references count="1">
          <reference field="4294967294" count="1">
            <x v="5"/>
          </reference>
        </references>
      </pivotArea>
    </format>
    <format dxfId="1020">
      <pivotArea outline="0" fieldPosition="0">
        <references count="1">
          <reference field="4294967294" count="1">
            <x v="6"/>
          </reference>
        </references>
      </pivotArea>
    </format>
    <format dxfId="1019">
      <pivotArea field="2" type="button" dataOnly="0" labelOnly="1" outline="0" axis="axisRow" fieldPosition="0"/>
    </format>
    <format dxfId="10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7">
      <pivotArea field="2" type="button" dataOnly="0" labelOnly="1" outline="0" axis="axisRow" fieldPosition="0"/>
    </format>
    <format dxfId="10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5">
      <pivotArea field="2" type="button" dataOnly="0" labelOnly="1" outline="0" axis="axisRow" fieldPosition="0"/>
    </format>
    <format dxfId="10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1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DCEDA4-D343-4A04-80B7-573A7DA7DE05}" name="pvt_S" cacheId="2196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6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1">
        <item x="53"/>
        <item x="52"/>
        <item x="48"/>
        <item x="55"/>
        <item x="0"/>
        <item x="29"/>
        <item x="20"/>
        <item x="36"/>
        <item x="19"/>
        <item x="60"/>
        <item x="59"/>
        <item x="61"/>
        <item x="67"/>
        <item x="31"/>
        <item x="27"/>
        <item x="44"/>
        <item x="32"/>
        <item x="34"/>
        <item x="43"/>
        <item x="23"/>
        <item x="35"/>
        <item x="33"/>
        <item x="37"/>
        <item x="21"/>
        <item x="49"/>
        <item x="56"/>
        <item x="30"/>
        <item x="39"/>
        <item x="57"/>
        <item x="58"/>
        <item x="62"/>
        <item x="63"/>
        <item x="64"/>
        <item x="65"/>
        <item x="66"/>
        <item x="40"/>
        <item x="41"/>
        <item x="54"/>
        <item x="25"/>
        <item x="47"/>
        <item x="38"/>
        <item x="46"/>
        <item x="22"/>
        <item x="42"/>
        <item x="26"/>
        <item x="18"/>
        <item x="24"/>
        <item x="28"/>
        <item x="45"/>
        <item x="68"/>
        <item x="69"/>
        <item x="70"/>
        <item x="50"/>
        <item x="1"/>
        <item x="12"/>
        <item x="14"/>
        <item x="8"/>
        <item x="9"/>
        <item x="5"/>
        <item x="2"/>
        <item x="7"/>
        <item x="11"/>
        <item x="6"/>
        <item x="17"/>
        <item x="3"/>
        <item x="13"/>
        <item x="10"/>
        <item x="4"/>
        <item x="16"/>
        <item x="15"/>
        <item x="51"/>
      </items>
    </pivotField>
    <pivotField axis="axisRow" showAll="0" insertBlankRow="1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showAll="0" defaultSubtotal="0">
      <items count="122">
        <item x="14"/>
        <item x="12"/>
        <item x="53"/>
        <item x="51"/>
        <item x="65"/>
        <item x="49"/>
        <item x="91"/>
        <item x="99"/>
        <item x="52"/>
        <item x="32"/>
        <item x="47"/>
        <item x="11"/>
        <item x="79"/>
        <item x="13"/>
        <item x="67"/>
        <item x="94"/>
        <item x="115"/>
        <item x="116"/>
        <item x="96"/>
        <item x="103"/>
        <item x="117"/>
        <item x="63"/>
        <item x="54"/>
        <item x="60"/>
        <item x="61"/>
        <item x="104"/>
        <item x="86"/>
        <item x="105"/>
        <item x="34"/>
        <item x="87"/>
        <item x="97"/>
        <item x="113"/>
        <item x="69"/>
        <item x="55"/>
        <item x="57"/>
        <item x="84"/>
        <item x="44"/>
        <item x="45"/>
        <item x="48"/>
        <item x="77"/>
        <item x="50"/>
        <item x="76"/>
        <item x="118"/>
        <item x="38"/>
        <item x="106"/>
        <item x="64"/>
        <item x="80"/>
        <item x="81"/>
        <item x="88"/>
        <item x="119"/>
        <item x="42"/>
        <item x="35"/>
        <item x="73"/>
        <item x="43"/>
        <item x="85"/>
        <item x="24"/>
        <item x="83"/>
        <item x="37"/>
        <item x="56"/>
        <item x="23"/>
        <item x="120"/>
        <item x="39"/>
        <item x="92"/>
        <item x="107"/>
        <item x="108"/>
        <item x="109"/>
        <item x="58"/>
        <item x="33"/>
        <item x="8"/>
        <item x="46"/>
        <item x="98"/>
        <item x="62"/>
        <item x="15"/>
        <item x="110"/>
        <item x="66"/>
        <item x="100"/>
        <item x="89"/>
        <item x="112"/>
        <item x="10"/>
        <item x="68"/>
        <item x="18"/>
        <item x="9"/>
        <item x="0"/>
        <item x="41"/>
        <item x="21"/>
        <item x="90"/>
        <item x="29"/>
        <item x="30"/>
        <item x="22"/>
        <item x="31"/>
        <item x="27"/>
        <item x="25"/>
        <item x="17"/>
        <item x="93"/>
        <item x="102"/>
        <item x="70"/>
        <item x="4"/>
        <item x="111"/>
        <item x="7"/>
        <item x="20"/>
        <item x="3"/>
        <item x="59"/>
        <item x="16"/>
        <item x="6"/>
        <item x="1"/>
        <item x="26"/>
        <item x="40"/>
        <item x="72"/>
        <item x="121"/>
        <item x="95"/>
        <item x="78"/>
        <item x="19"/>
        <item x="2"/>
        <item x="101"/>
        <item x="5"/>
        <item x="74"/>
        <item x="75"/>
        <item x="82"/>
        <item x="36"/>
        <item x="114"/>
        <item x="28"/>
        <item x="71"/>
      </items>
    </pivotField>
    <pivotField showAll="0" defaultSubtotal="0">
      <items count="122">
        <item x="88"/>
        <item x="62"/>
        <item x="121"/>
        <item x="89"/>
        <item x="113"/>
        <item x="33"/>
        <item x="119"/>
        <item x="95"/>
        <item x="102"/>
        <item x="92"/>
        <item x="47"/>
        <item x="103"/>
        <item x="48"/>
        <item x="25"/>
        <item x="26"/>
        <item x="61"/>
        <item x="84"/>
        <item x="57"/>
        <item x="111"/>
        <item x="38"/>
        <item x="31"/>
        <item x="49"/>
        <item x="20"/>
        <item x="96"/>
        <item x="15"/>
        <item x="64"/>
        <item x="106"/>
        <item x="34"/>
        <item x="43"/>
        <item x="56"/>
        <item x="98"/>
        <item x="58"/>
        <item x="107"/>
        <item x="19"/>
        <item x="13"/>
        <item x="46"/>
        <item x="67"/>
        <item x="3"/>
        <item x="72"/>
        <item x="2"/>
        <item x="45"/>
        <item x="27"/>
        <item x="105"/>
        <item x="44"/>
        <item x="69"/>
        <item x="51"/>
        <item x="12"/>
        <item x="73"/>
        <item x="30"/>
        <item x="22"/>
        <item x="97"/>
        <item x="81"/>
        <item x="60"/>
        <item x="91"/>
        <item x="85"/>
        <item x="24"/>
        <item x="82"/>
        <item x="90"/>
        <item x="101"/>
        <item x="74"/>
        <item x="50"/>
        <item x="83"/>
        <item x="8"/>
        <item x="36"/>
        <item x="112"/>
        <item x="78"/>
        <item x="109"/>
        <item x="7"/>
        <item x="71"/>
        <item x="100"/>
        <item x="32"/>
        <item x="76"/>
        <item x="54"/>
        <item x="114"/>
        <item x="70"/>
        <item x="108"/>
        <item x="35"/>
        <item x="94"/>
        <item x="104"/>
        <item x="63"/>
        <item x="4"/>
        <item x="16"/>
        <item x="80"/>
        <item x="86"/>
        <item x="23"/>
        <item x="28"/>
        <item x="10"/>
        <item x="40"/>
        <item x="118"/>
        <item x="0"/>
        <item x="65"/>
        <item x="120"/>
        <item x="117"/>
        <item x="41"/>
        <item x="116"/>
        <item x="68"/>
        <item x="37"/>
        <item x="11"/>
        <item x="79"/>
        <item x="52"/>
        <item x="17"/>
        <item x="14"/>
        <item x="55"/>
        <item x="66"/>
        <item x="110"/>
        <item x="42"/>
        <item x="59"/>
        <item x="77"/>
        <item x="99"/>
        <item x="1"/>
        <item x="21"/>
        <item x="18"/>
        <item x="9"/>
        <item x="39"/>
        <item x="87"/>
        <item x="29"/>
        <item x="53"/>
        <item x="115"/>
        <item x="6"/>
        <item x="93"/>
        <item x="5"/>
        <item x="75"/>
      </items>
    </pivotField>
    <pivotField axis="axisRow" showAll="0" defaultSubtotal="0">
      <items count="122">
        <item x="14"/>
        <item x="12"/>
        <item x="53"/>
        <item x="51"/>
        <item x="65"/>
        <item x="49"/>
        <item x="91"/>
        <item x="99"/>
        <item x="52"/>
        <item x="32"/>
        <item x="47"/>
        <item x="11"/>
        <item x="79"/>
        <item x="13"/>
        <item x="67"/>
        <item x="94"/>
        <item x="115"/>
        <item x="116"/>
        <item x="96"/>
        <item x="103"/>
        <item x="117"/>
        <item x="63"/>
        <item x="54"/>
        <item x="60"/>
        <item x="61"/>
        <item x="104"/>
        <item x="86"/>
        <item x="105"/>
        <item x="34"/>
        <item x="87"/>
        <item x="97"/>
        <item x="113"/>
        <item x="69"/>
        <item x="55"/>
        <item x="57"/>
        <item x="84"/>
        <item x="44"/>
        <item x="45"/>
        <item x="48"/>
        <item x="77"/>
        <item x="50"/>
        <item x="76"/>
        <item x="118"/>
        <item x="38"/>
        <item x="106"/>
        <item x="64"/>
        <item x="80"/>
        <item x="81"/>
        <item x="88"/>
        <item x="119"/>
        <item x="42"/>
        <item x="35"/>
        <item x="73"/>
        <item x="43"/>
        <item x="85"/>
        <item x="24"/>
        <item x="83"/>
        <item x="37"/>
        <item x="56"/>
        <item x="23"/>
        <item x="120"/>
        <item x="39"/>
        <item x="92"/>
        <item x="107"/>
        <item x="108"/>
        <item x="109"/>
        <item x="58"/>
        <item x="33"/>
        <item x="8"/>
        <item x="46"/>
        <item x="98"/>
        <item x="62"/>
        <item x="15"/>
        <item x="110"/>
        <item x="66"/>
        <item x="100"/>
        <item x="89"/>
        <item x="112"/>
        <item x="10"/>
        <item x="68"/>
        <item x="18"/>
        <item x="9"/>
        <item x="0"/>
        <item x="41"/>
        <item x="21"/>
        <item x="90"/>
        <item x="29"/>
        <item x="30"/>
        <item x="22"/>
        <item x="31"/>
        <item x="27"/>
        <item x="25"/>
        <item x="17"/>
        <item x="93"/>
        <item x="102"/>
        <item x="70"/>
        <item x="4"/>
        <item x="111"/>
        <item x="7"/>
        <item x="20"/>
        <item x="3"/>
        <item x="59"/>
        <item x="16"/>
        <item x="6"/>
        <item x="1"/>
        <item x="26"/>
        <item x="40"/>
        <item x="72"/>
        <item x="121"/>
        <item x="95"/>
        <item x="78"/>
        <item x="19"/>
        <item x="2"/>
        <item x="101"/>
        <item x="5"/>
        <item x="74"/>
        <item x="75"/>
        <item x="82"/>
        <item x="36"/>
        <item x="114"/>
        <item x="28"/>
        <item x="7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41">
        <item x="240"/>
        <item x="239"/>
        <item x="238"/>
        <item x="237"/>
        <item x="235"/>
        <item x="234"/>
        <item x="233"/>
        <item x="236"/>
        <item x="231"/>
        <item x="232"/>
        <item x="230"/>
        <item x="229"/>
        <item x="228"/>
        <item x="226"/>
        <item x="227"/>
        <item x="225"/>
        <item x="222"/>
        <item x="221"/>
        <item x="211"/>
        <item x="220"/>
        <item x="210"/>
        <item x="209"/>
        <item x="142"/>
        <item x="141"/>
        <item x="224"/>
        <item x="140"/>
        <item x="139"/>
        <item x="138"/>
        <item x="219"/>
        <item x="137"/>
        <item x="208"/>
        <item x="134"/>
        <item x="133"/>
        <item x="136"/>
        <item x="126"/>
        <item x="132"/>
        <item x="125"/>
        <item x="124"/>
        <item x="131"/>
        <item x="130"/>
        <item x="129"/>
        <item x="152"/>
        <item x="166"/>
        <item x="200"/>
        <item x="123"/>
        <item x="71"/>
        <item x="122"/>
        <item x="121"/>
        <item x="155"/>
        <item x="70"/>
        <item x="154"/>
        <item x="120"/>
        <item x="69"/>
        <item x="128"/>
        <item x="83"/>
        <item x="56"/>
        <item x="55"/>
        <item x="68"/>
        <item x="67"/>
        <item x="54"/>
        <item x="150"/>
        <item x="93"/>
        <item x="53"/>
        <item x="82"/>
        <item x="66"/>
        <item x="52"/>
        <item x="161"/>
        <item x="51"/>
        <item x="102"/>
        <item x="199"/>
        <item x="92"/>
        <item x="81"/>
        <item x="91"/>
        <item x="50"/>
        <item x="165"/>
        <item x="65"/>
        <item x="90"/>
        <item x="151"/>
        <item x="64"/>
        <item x="101"/>
        <item x="63"/>
        <item x="100"/>
        <item x="99"/>
        <item x="62"/>
        <item x="80"/>
        <item x="157"/>
        <item x="61"/>
        <item x="98"/>
        <item x="149"/>
        <item x="205"/>
        <item x="79"/>
        <item x="60"/>
        <item x="223"/>
        <item x="49"/>
        <item x="78"/>
        <item x="119"/>
        <item x="148"/>
        <item x="59"/>
        <item x="48"/>
        <item x="47"/>
        <item x="77"/>
        <item x="46"/>
        <item x="89"/>
        <item x="160"/>
        <item x="45"/>
        <item x="147"/>
        <item x="153"/>
        <item x="146"/>
        <item x="156"/>
        <item x="178"/>
        <item x="177"/>
        <item x="88"/>
        <item x="76"/>
        <item x="186"/>
        <item x="58"/>
        <item x="176"/>
        <item x="175"/>
        <item x="216"/>
        <item x="145"/>
        <item x="118"/>
        <item x="174"/>
        <item x="75"/>
        <item x="144"/>
        <item x="44"/>
        <item x="135"/>
        <item x="43"/>
        <item x="198"/>
        <item x="116"/>
        <item x="207"/>
        <item x="197"/>
        <item x="115"/>
        <item x="114"/>
        <item x="185"/>
        <item x="159"/>
        <item x="87"/>
        <item x="97"/>
        <item x="96"/>
        <item x="74"/>
        <item x="113"/>
        <item x="196"/>
        <item x="86"/>
        <item x="195"/>
        <item x="204"/>
        <item x="215"/>
        <item x="164"/>
        <item x="42"/>
        <item x="85"/>
        <item x="184"/>
        <item x="194"/>
        <item x="73"/>
        <item x="95"/>
        <item x="193"/>
        <item x="112"/>
        <item x="158"/>
        <item x="111"/>
        <item x="163"/>
        <item x="173"/>
        <item x="143"/>
        <item x="183"/>
        <item x="203"/>
        <item x="110"/>
        <item x="109"/>
        <item x="214"/>
        <item x="213"/>
        <item x="172"/>
        <item x="57"/>
        <item x="218"/>
        <item x="41"/>
        <item x="182"/>
        <item x="202"/>
        <item x="171"/>
        <item x="72"/>
        <item x="94"/>
        <item x="192"/>
        <item x="40"/>
        <item x="181"/>
        <item x="170"/>
        <item x="84"/>
        <item x="206"/>
        <item x="162"/>
        <item x="217"/>
        <item x="108"/>
        <item x="201"/>
        <item x="169"/>
        <item x="180"/>
        <item x="127"/>
        <item x="107"/>
        <item x="168"/>
        <item x="191"/>
        <item x="190"/>
        <item x="106"/>
        <item x="189"/>
        <item x="117"/>
        <item x="105"/>
        <item x="212"/>
        <item x="179"/>
        <item x="39"/>
        <item x="188"/>
        <item x="187"/>
        <item x="167"/>
        <item x="104"/>
        <item x="103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19"/>
        <item x="18"/>
        <item x="17"/>
        <item x="16"/>
        <item x="15"/>
        <item x="14"/>
        <item x="21"/>
        <item x="13"/>
        <item x="12"/>
        <item x="11"/>
        <item x="10"/>
        <item x="9"/>
        <item x="8"/>
        <item x="20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44">
        <item x="294"/>
        <item x="323"/>
        <item x="143"/>
        <item x="126"/>
        <item x="322"/>
        <item x="142"/>
        <item x="34"/>
        <item x="16"/>
        <item x="125"/>
        <item x="33"/>
        <item x="150"/>
        <item x="124"/>
        <item x="162"/>
        <item x="15"/>
        <item x="182"/>
        <item x="14"/>
        <item x="134"/>
        <item x="32"/>
        <item x="13"/>
        <item x="31"/>
        <item x="100"/>
        <item x="30"/>
        <item x="242"/>
        <item x="63"/>
        <item x="75"/>
        <item x="12"/>
        <item x="49"/>
        <item x="74"/>
        <item x="87"/>
        <item x="99"/>
        <item x="29"/>
        <item x="28"/>
        <item x="86"/>
        <item x="48"/>
        <item x="123"/>
        <item x="27"/>
        <item x="133"/>
        <item x="225"/>
        <item x="85"/>
        <item x="98"/>
        <item x="47"/>
        <item x="73"/>
        <item x="84"/>
        <item x="62"/>
        <item x="11"/>
        <item x="46"/>
        <item x="97"/>
        <item x="149"/>
        <item x="96"/>
        <item x="111"/>
        <item x="72"/>
        <item x="10"/>
        <item x="201"/>
        <item x="26"/>
        <item x="141"/>
        <item x="61"/>
        <item x="95"/>
        <item x="122"/>
        <item x="60"/>
        <item x="9"/>
        <item x="71"/>
        <item x="59"/>
        <item x="188"/>
        <item x="94"/>
        <item x="281"/>
        <item x="8"/>
        <item x="83"/>
        <item x="121"/>
        <item x="175"/>
        <item x="161"/>
        <item x="168"/>
        <item x="156"/>
        <item x="160"/>
        <item x="110"/>
        <item x="280"/>
        <item x="148"/>
        <item x="109"/>
        <item x="181"/>
        <item x="194"/>
        <item x="58"/>
        <item x="120"/>
        <item x="25"/>
        <item x="57"/>
        <item x="132"/>
        <item x="187"/>
        <item x="193"/>
        <item x="276"/>
        <item x="82"/>
        <item x="93"/>
        <item x="211"/>
        <item x="70"/>
        <item x="108"/>
        <item x="119"/>
        <item x="186"/>
        <item x="220"/>
        <item x="7"/>
        <item x="192"/>
        <item x="131"/>
        <item x="174"/>
        <item x="24"/>
        <item x="245"/>
        <item x="252"/>
        <item x="200"/>
        <item x="199"/>
        <item x="45"/>
        <item x="81"/>
        <item x="180"/>
        <item x="260"/>
        <item x="241"/>
        <item x="173"/>
        <item x="56"/>
        <item x="219"/>
        <item x="140"/>
        <item x="237"/>
        <item x="69"/>
        <item x="44"/>
        <item x="236"/>
        <item x="172"/>
        <item x="43"/>
        <item x="55"/>
        <item x="167"/>
        <item x="23"/>
        <item x="42"/>
        <item x="251"/>
        <item x="118"/>
        <item x="22"/>
        <item x="80"/>
        <item x="107"/>
        <item x="21"/>
        <item x="41"/>
        <item x="179"/>
        <item x="155"/>
        <item x="284"/>
        <item x="6"/>
        <item x="5"/>
        <item x="92"/>
        <item x="4"/>
        <item x="154"/>
        <item x="204"/>
        <item x="224"/>
        <item x="185"/>
        <item x="244"/>
        <item x="54"/>
        <item x="329"/>
        <item x="166"/>
        <item x="240"/>
        <item x="117"/>
        <item x="159"/>
        <item x="147"/>
        <item x="116"/>
        <item x="250"/>
        <item x="3"/>
        <item x="153"/>
        <item x="232"/>
        <item x="130"/>
        <item x="139"/>
        <item x="53"/>
        <item x="20"/>
        <item x="68"/>
        <item x="91"/>
        <item x="165"/>
        <item x="90"/>
        <item x="115"/>
        <item x="171"/>
        <item x="138"/>
        <item x="146"/>
        <item x="304"/>
        <item x="210"/>
        <item x="2"/>
        <item x="218"/>
        <item x="106"/>
        <item x="170"/>
        <item x="231"/>
        <item x="52"/>
        <item x="217"/>
        <item x="320"/>
        <item x="19"/>
        <item x="246"/>
        <item x="333"/>
        <item x="270"/>
        <item x="40"/>
        <item x="79"/>
        <item x="198"/>
        <item x="223"/>
        <item x="67"/>
        <item x="39"/>
        <item x="275"/>
        <item x="321"/>
        <item x="288"/>
        <item x="266"/>
        <item x="105"/>
        <item x="215"/>
        <item x="89"/>
        <item x="145"/>
        <item x="328"/>
        <item x="114"/>
        <item x="78"/>
        <item x="296"/>
        <item x="214"/>
        <item x="230"/>
        <item x="341"/>
        <item x="137"/>
        <item x="164"/>
        <item x="279"/>
        <item x="203"/>
        <item x="319"/>
        <item x="293"/>
        <item x="258"/>
        <item x="209"/>
        <item x="152"/>
        <item x="77"/>
        <item x="197"/>
        <item x="208"/>
        <item x="274"/>
        <item x="207"/>
        <item x="158"/>
        <item x="259"/>
        <item x="51"/>
        <item x="104"/>
        <item x="301"/>
        <item x="249"/>
        <item x="66"/>
        <item x="273"/>
        <item x="163"/>
        <item x="263"/>
        <item x="38"/>
        <item x="18"/>
        <item x="332"/>
        <item x="213"/>
        <item x="196"/>
        <item x="190"/>
        <item x="227"/>
        <item x="336"/>
        <item x="222"/>
        <item x="317"/>
        <item x="151"/>
        <item x="144"/>
        <item x="331"/>
        <item x="311"/>
        <item x="103"/>
        <item x="338"/>
        <item x="178"/>
        <item x="195"/>
        <item x="206"/>
        <item x="315"/>
        <item x="129"/>
        <item x="65"/>
        <item x="300"/>
        <item x="326"/>
        <item x="235"/>
        <item x="299"/>
        <item x="292"/>
        <item x="257"/>
        <item x="340"/>
        <item x="306"/>
        <item x="113"/>
        <item x="254"/>
        <item x="88"/>
        <item x="291"/>
        <item x="157"/>
        <item x="128"/>
        <item x="136"/>
        <item x="248"/>
        <item x="335"/>
        <item x="1"/>
        <item x="229"/>
        <item x="305"/>
        <item x="226"/>
        <item x="313"/>
        <item x="309"/>
        <item x="256"/>
        <item x="262"/>
        <item x="0"/>
        <item x="169"/>
        <item x="287"/>
        <item x="278"/>
        <item x="102"/>
        <item x="265"/>
        <item x="37"/>
        <item x="286"/>
        <item x="212"/>
        <item x="261"/>
        <item x="267"/>
        <item x="325"/>
        <item x="277"/>
        <item x="76"/>
        <item x="221"/>
        <item x="269"/>
        <item x="191"/>
        <item x="310"/>
        <item x="228"/>
        <item x="184"/>
        <item x="247"/>
        <item x="234"/>
        <item x="189"/>
        <item x="205"/>
        <item x="64"/>
        <item x="233"/>
        <item x="36"/>
        <item x="17"/>
        <item x="314"/>
        <item x="243"/>
        <item x="255"/>
        <item x="308"/>
        <item x="177"/>
        <item x="290"/>
        <item x="285"/>
        <item x="327"/>
        <item x="239"/>
        <item x="316"/>
        <item x="283"/>
        <item x="183"/>
        <item x="264"/>
        <item x="298"/>
        <item x="272"/>
        <item x="50"/>
        <item x="324"/>
        <item x="271"/>
        <item x="302"/>
        <item x="282"/>
        <item x="295"/>
        <item x="135"/>
        <item x="216"/>
        <item x="339"/>
        <item x="297"/>
        <item x="337"/>
        <item x="101"/>
        <item x="268"/>
        <item x="253"/>
        <item x="343"/>
        <item x="312"/>
        <item x="238"/>
        <item x="176"/>
        <item x="307"/>
        <item x="35"/>
        <item x="342"/>
        <item x="303"/>
        <item x="202"/>
        <item x="330"/>
        <item x="127"/>
        <item x="112"/>
        <item x="289"/>
        <item x="318"/>
        <item x="334"/>
      </items>
    </pivotField>
    <pivotField dataField="1" showAll="0" defaultSubtotal="0">
      <items count="198">
        <item x="66"/>
        <item x="49"/>
        <item x="61"/>
        <item x="116"/>
        <item x="53"/>
        <item x="58"/>
        <item x="81"/>
        <item x="48"/>
        <item x="88"/>
        <item x="95"/>
        <item x="76"/>
        <item x="74"/>
        <item x="56"/>
        <item x="77"/>
        <item x="101"/>
        <item x="118"/>
        <item x="143"/>
        <item x="100"/>
        <item x="68"/>
        <item x="89"/>
        <item x="128"/>
        <item x="43"/>
        <item x="119"/>
        <item x="176"/>
        <item x="138"/>
        <item x="32"/>
        <item x="105"/>
        <item x="134"/>
        <item x="117"/>
        <item x="123"/>
        <item x="165"/>
        <item x="51"/>
        <item x="78"/>
        <item x="108"/>
        <item x="45"/>
        <item x="133"/>
        <item x="79"/>
        <item x="183"/>
        <item x="54"/>
        <item x="65"/>
        <item x="127"/>
        <item x="126"/>
        <item x="98"/>
        <item x="67"/>
        <item x="63"/>
        <item x="131"/>
        <item x="137"/>
        <item x="55"/>
        <item x="122"/>
        <item x="60"/>
        <item x="159"/>
        <item x="62"/>
        <item x="115"/>
        <item x="64"/>
        <item x="195"/>
        <item x="47"/>
        <item x="90"/>
        <item x="38"/>
        <item x="132"/>
        <item x="52"/>
        <item x="150"/>
        <item x="120"/>
        <item x="80"/>
        <item x="175"/>
        <item x="124"/>
        <item x="148"/>
        <item x="57"/>
        <item x="82"/>
        <item x="121"/>
        <item x="50"/>
        <item x="113"/>
        <item x="69"/>
        <item x="114"/>
        <item x="136"/>
        <item x="147"/>
        <item x="59"/>
        <item x="158"/>
        <item x="75"/>
        <item x="125"/>
        <item x="99"/>
        <item x="97"/>
        <item x="86"/>
        <item x="46"/>
        <item x="196"/>
        <item x="141"/>
        <item x="92"/>
        <item x="184"/>
        <item x="193"/>
        <item x="36"/>
        <item x="87"/>
        <item x="197"/>
        <item x="144"/>
        <item x="94"/>
        <item x="146"/>
        <item x="96"/>
        <item x="130"/>
        <item x="39"/>
        <item x="135"/>
        <item x="140"/>
        <item x="72"/>
        <item x="44"/>
        <item x="139"/>
        <item x="85"/>
        <item x="107"/>
        <item x="73"/>
        <item x="111"/>
        <item x="33"/>
        <item x="42"/>
        <item x="35"/>
        <item x="177"/>
        <item x="168"/>
        <item x="110"/>
        <item x="84"/>
        <item x="91"/>
        <item x="149"/>
        <item x="112"/>
        <item x="181"/>
        <item x="93"/>
        <item x="180"/>
        <item x="27"/>
        <item x="142"/>
        <item x="191"/>
        <item x="189"/>
        <item x="145"/>
        <item x="41"/>
        <item x="70"/>
        <item x="83"/>
        <item x="71"/>
        <item x="163"/>
        <item x="188"/>
        <item x="156"/>
        <item x="129"/>
        <item x="164"/>
        <item x="109"/>
        <item x="192"/>
        <item x="179"/>
        <item x="174"/>
        <item x="190"/>
        <item x="153"/>
        <item x="155"/>
        <item x="161"/>
        <item x="157"/>
        <item x="40"/>
        <item x="194"/>
        <item x="172"/>
        <item x="186"/>
        <item x="154"/>
        <item x="162"/>
        <item x="106"/>
        <item x="170"/>
        <item x="173"/>
        <item x="178"/>
        <item x="182"/>
        <item x="103"/>
        <item x="171"/>
        <item x="152"/>
        <item x="187"/>
        <item x="169"/>
        <item x="12"/>
        <item x="185"/>
        <item x="31"/>
        <item x="167"/>
        <item x="14"/>
        <item x="160"/>
        <item x="104"/>
        <item x="166"/>
        <item x="151"/>
        <item x="37"/>
        <item x="9"/>
        <item x="18"/>
        <item x="13"/>
        <item x="102"/>
        <item x="11"/>
        <item x="29"/>
        <item x="20"/>
        <item x="34"/>
        <item x="17"/>
        <item x="15"/>
        <item x="30"/>
        <item x="25"/>
        <item x="28"/>
        <item x="16"/>
        <item x="26"/>
        <item x="24"/>
        <item x="22"/>
        <item x="19"/>
        <item x="8"/>
        <item x="23"/>
        <item x="10"/>
        <item x="21"/>
        <item x="0"/>
        <item x="4"/>
        <item x="7"/>
        <item x="5"/>
        <item x="2"/>
        <item x="6"/>
        <item x="3"/>
        <item x="1"/>
      </items>
    </pivotField>
    <pivotField dataField="1" showAll="0" defaultSubtotal="0">
      <items count="586">
        <item x="72"/>
        <item x="49"/>
        <item x="130"/>
        <item x="250"/>
        <item x="70"/>
        <item x="200"/>
        <item x="32"/>
        <item x="168"/>
        <item x="452"/>
        <item x="498"/>
        <item x="64"/>
        <item x="198"/>
        <item x="179"/>
        <item x="90"/>
        <item x="53"/>
        <item x="37"/>
        <item x="244"/>
        <item x="171"/>
        <item x="92"/>
        <item x="232"/>
        <item x="119"/>
        <item x="453"/>
        <item x="325"/>
        <item x="464"/>
        <item x="91"/>
        <item x="114"/>
        <item x="69"/>
        <item x="135"/>
        <item x="12"/>
        <item x="170"/>
        <item x="48"/>
        <item x="14"/>
        <item x="357"/>
        <item x="186"/>
        <item x="59"/>
        <item x="431"/>
        <item x="216"/>
        <item x="33"/>
        <item x="35"/>
        <item x="9"/>
        <item x="240"/>
        <item x="110"/>
        <item x="327"/>
        <item x="161"/>
        <item x="574"/>
        <item x="83"/>
        <item x="27"/>
        <item x="18"/>
        <item x="243"/>
        <item x="310"/>
        <item x="79"/>
        <item x="13"/>
        <item x="158"/>
        <item x="336"/>
        <item x="219"/>
        <item x="207"/>
        <item x="102"/>
        <item x="191"/>
        <item x="355"/>
        <item x="145"/>
        <item x="185"/>
        <item x="84"/>
        <item x="103"/>
        <item x="221"/>
        <item x="454"/>
        <item x="444"/>
        <item x="11"/>
        <item x="167"/>
        <item x="343"/>
        <item x="465"/>
        <item x="120"/>
        <item x="204"/>
        <item x="222"/>
        <item x="234"/>
        <item x="281"/>
        <item x="353"/>
        <item x="197"/>
        <item x="415"/>
        <item x="124"/>
        <item x="208"/>
        <item x="233"/>
        <item x="140"/>
        <item x="529"/>
        <item x="494"/>
        <item x="184"/>
        <item x="117"/>
        <item x="379"/>
        <item x="89"/>
        <item x="442"/>
        <item x="334"/>
        <item x="354"/>
        <item x="274"/>
        <item x="57"/>
        <item x="159"/>
        <item x="245"/>
        <item x="118"/>
        <item x="225"/>
        <item x="320"/>
        <item x="127"/>
        <item x="17"/>
        <item x="282"/>
        <item x="147"/>
        <item x="101"/>
        <item x="364"/>
        <item x="15"/>
        <item x="356"/>
        <item x="400"/>
        <item x="42"/>
        <item x="292"/>
        <item x="319"/>
        <item x="271"/>
        <item x="409"/>
        <item x="31"/>
        <item x="342"/>
        <item x="380"/>
        <item x="131"/>
        <item x="146"/>
        <item x="231"/>
        <item x="248"/>
        <item x="402"/>
        <item x="407"/>
        <item x="426"/>
        <item x="214"/>
        <item x="106"/>
        <item x="335"/>
        <item x="495"/>
        <item x="173"/>
        <item x="463"/>
        <item x="188"/>
        <item x="142"/>
        <item x="209"/>
        <item x="389"/>
        <item x="437"/>
        <item x="156"/>
        <item x="332"/>
        <item x="351"/>
        <item x="36"/>
        <item x="174"/>
        <item x="16"/>
        <item x="491"/>
        <item x="74"/>
        <item x="160"/>
        <item x="401"/>
        <item x="372"/>
        <item x="298"/>
        <item x="443"/>
        <item x="567"/>
        <item x="220"/>
        <item x="381"/>
        <item x="148"/>
        <item x="318"/>
        <item x="516"/>
        <item x="259"/>
        <item x="230"/>
        <item x="86"/>
        <item x="181"/>
        <item x="19"/>
        <item x="51"/>
        <item x="261"/>
        <item x="428"/>
        <item x="187"/>
        <item x="460"/>
        <item x="377"/>
        <item x="406"/>
        <item x="301"/>
        <item x="107"/>
        <item x="8"/>
        <item x="575"/>
        <item x="311"/>
        <item x="365"/>
        <item x="328"/>
        <item x="284"/>
        <item x="300"/>
        <item x="45"/>
        <item x="270"/>
        <item x="87"/>
        <item x="104"/>
        <item x="269"/>
        <item x="366"/>
        <item x="283"/>
        <item x="210"/>
        <item x="559"/>
        <item x="580"/>
        <item x="260"/>
        <item x="344"/>
        <item x="246"/>
        <item x="388"/>
        <item x="579"/>
        <item x="290"/>
        <item x="273"/>
        <item x="352"/>
        <item x="421"/>
        <item x="144"/>
        <item x="280"/>
        <item x="363"/>
        <item x="10"/>
        <item x="54"/>
        <item x="63"/>
        <item x="309"/>
        <item x="249"/>
        <item x="427"/>
        <item x="399"/>
        <item x="378"/>
        <item x="134"/>
        <item x="217"/>
        <item x="199"/>
        <item x="235"/>
        <item x="175"/>
        <item x="304"/>
        <item x="295"/>
        <item x="502"/>
        <item x="350"/>
        <item x="317"/>
        <item x="115"/>
        <item x="429"/>
        <item x="182"/>
        <item x="307"/>
        <item x="326"/>
        <item x="540"/>
        <item x="533"/>
        <item x="480"/>
        <item x="211"/>
        <item x="157"/>
        <item x="196"/>
        <item x="29"/>
        <item x="331"/>
        <item x="430"/>
        <item x="341"/>
        <item x="511"/>
        <item x="155"/>
        <item x="172"/>
        <item x="206"/>
        <item x="416"/>
        <item x="133"/>
        <item x="441"/>
        <item x="279"/>
        <item x="272"/>
        <item x="299"/>
        <item x="85"/>
        <item x="323"/>
        <item x="555"/>
        <item x="392"/>
        <item x="254"/>
        <item x="339"/>
        <item x="333"/>
        <item x="371"/>
        <item x="410"/>
        <item x="376"/>
        <item x="169"/>
        <item x="558"/>
        <item x="387"/>
        <item x="566"/>
        <item x="404"/>
        <item x="477"/>
        <item x="569"/>
        <item x="308"/>
        <item x="386"/>
        <item x="467"/>
        <item x="456"/>
        <item x="66"/>
        <item x="489"/>
        <item x="394"/>
        <item x="215"/>
        <item x="340"/>
        <item x="582"/>
        <item x="291"/>
        <item x="105"/>
        <item x="183"/>
        <item x="504"/>
        <item x="528"/>
        <item x="384"/>
        <item x="424"/>
        <item x="47"/>
        <item x="471"/>
        <item x="422"/>
        <item x="503"/>
        <item x="20"/>
        <item x="100"/>
        <item x="451"/>
        <item x="417"/>
        <item x="564"/>
        <item x="143"/>
        <item x="136"/>
        <item x="262"/>
        <item x="276"/>
        <item x="264"/>
        <item x="52"/>
        <item x="88"/>
        <item x="450"/>
        <item x="71"/>
        <item x="458"/>
        <item x="393"/>
        <item x="397"/>
        <item x="34"/>
        <item x="520"/>
        <item x="435"/>
        <item x="205"/>
        <item x="585"/>
        <item x="425"/>
        <item x="405"/>
        <item x="82"/>
        <item x="338"/>
        <item x="126"/>
        <item x="229"/>
        <item x="534"/>
        <item x="93"/>
        <item x="132"/>
        <item x="490"/>
        <item x="348"/>
        <item x="493"/>
        <item x="73"/>
        <item x="436"/>
        <item x="288"/>
        <item x="30"/>
        <item x="267"/>
        <item x="256"/>
        <item x="67"/>
        <item x="515"/>
        <item x="0"/>
        <item x="324"/>
        <item x="510"/>
        <item x="129"/>
        <item x="50"/>
        <item x="141"/>
        <item x="385"/>
        <item x="562"/>
        <item x="278"/>
        <item x="112"/>
        <item x="4"/>
        <item x="375"/>
        <item x="583"/>
        <item x="7"/>
        <item x="565"/>
        <item x="55"/>
        <item x="362"/>
        <item x="509"/>
        <item x="449"/>
        <item x="370"/>
        <item x="360"/>
        <item x="80"/>
        <item x="470"/>
        <item x="349"/>
        <item x="154"/>
        <item x="398"/>
        <item x="538"/>
        <item x="265"/>
        <item x="62"/>
        <item x="418"/>
        <item x="459"/>
        <item x="374"/>
        <item x="247"/>
        <item x="180"/>
        <item x="194"/>
        <item x="469"/>
        <item x="577"/>
        <item x="476"/>
        <item x="65"/>
        <item x="268"/>
        <item x="116"/>
        <item x="98"/>
        <item x="25"/>
        <item x="258"/>
        <item x="523"/>
        <item x="481"/>
        <item x="560"/>
        <item x="549"/>
        <item x="382"/>
        <item x="420"/>
        <item x="113"/>
        <item x="266"/>
        <item x="68"/>
        <item x="218"/>
        <item x="497"/>
        <item x="434"/>
        <item x="289"/>
        <item x="448"/>
        <item x="46"/>
        <item x="519"/>
        <item x="5"/>
        <item x="277"/>
        <item x="457"/>
        <item x="28"/>
        <item x="547"/>
        <item x="81"/>
        <item x="539"/>
        <item x="369"/>
        <item x="2"/>
        <item x="532"/>
        <item x="508"/>
        <item x="99"/>
        <item x="578"/>
        <item x="527"/>
        <item x="414"/>
        <item x="153"/>
        <item x="306"/>
        <item x="361"/>
        <item x="501"/>
        <item x="297"/>
        <item x="44"/>
        <item x="573"/>
        <item x="257"/>
        <item x="287"/>
        <item x="165"/>
        <item x="345"/>
        <item x="6"/>
        <item x="303"/>
        <item x="26"/>
        <item x="316"/>
        <item x="128"/>
        <item x="164"/>
        <item x="391"/>
        <item x="24"/>
        <item x="513"/>
        <item x="315"/>
        <item x="3"/>
        <item x="242"/>
        <item x="572"/>
        <item x="151"/>
        <item x="556"/>
        <item x="296"/>
        <item x="22"/>
        <item x="228"/>
        <item x="305"/>
        <item x="97"/>
        <item x="139"/>
        <item x="507"/>
        <item x="111"/>
        <item x="195"/>
        <item x="482"/>
        <item x="412"/>
        <item x="526"/>
        <item x="77"/>
        <item x="496"/>
        <item x="413"/>
        <item x="166"/>
        <item x="557"/>
        <item x="546"/>
        <item x="506"/>
        <item x="286"/>
        <item x="38"/>
        <item x="322"/>
        <item x="58"/>
        <item x="253"/>
        <item x="96"/>
        <item x="396"/>
        <item x="255"/>
        <item x="78"/>
        <item x="447"/>
        <item x="486"/>
        <item x="479"/>
        <item x="43"/>
        <item x="294"/>
        <item x="545"/>
        <item x="152"/>
        <item x="61"/>
        <item x="514"/>
        <item x="241"/>
        <item x="468"/>
        <item x="485"/>
        <item x="347"/>
        <item x="571"/>
        <item x="203"/>
        <item x="285"/>
        <item x="440"/>
        <item x="544"/>
        <item x="193"/>
        <item x="462"/>
        <item x="314"/>
        <item x="41"/>
        <item x="368"/>
        <item x="227"/>
        <item x="330"/>
        <item x="411"/>
        <item x="238"/>
        <item x="226"/>
        <item x="23"/>
        <item x="439"/>
        <item x="525"/>
        <item x="95"/>
        <item x="543"/>
        <item x="60"/>
        <item x="561"/>
        <item x="313"/>
        <item x="125"/>
        <item x="252"/>
        <item x="475"/>
        <item x="484"/>
        <item x="551"/>
        <item x="552"/>
        <item x="178"/>
        <item x="150"/>
        <item x="108"/>
        <item x="488"/>
        <item x="492"/>
        <item x="474"/>
        <item x="517"/>
        <item x="500"/>
        <item x="192"/>
        <item x="239"/>
        <item x="337"/>
        <item x="433"/>
        <item x="581"/>
        <item x="395"/>
        <item x="213"/>
        <item x="445"/>
        <item x="56"/>
        <item x="224"/>
        <item x="536"/>
        <item x="109"/>
        <item x="346"/>
        <item x="177"/>
        <item x="541"/>
        <item x="499"/>
        <item x="505"/>
        <item x="21"/>
        <item x="373"/>
        <item x="473"/>
        <item x="75"/>
        <item x="383"/>
        <item x="138"/>
        <item x="550"/>
        <item x="403"/>
        <item x="94"/>
        <item x="76"/>
        <item x="212"/>
        <item x="237"/>
        <item x="419"/>
        <item x="1"/>
        <item x="40"/>
        <item x="176"/>
        <item x="359"/>
        <item x="542"/>
        <item x="455"/>
        <item x="390"/>
        <item x="478"/>
        <item x="408"/>
        <item x="553"/>
        <item x="576"/>
        <item x="202"/>
        <item x="122"/>
        <item x="162"/>
        <item x="302"/>
        <item x="329"/>
        <item x="518"/>
        <item x="201"/>
        <item x="190"/>
        <item x="537"/>
        <item x="275"/>
        <item x="312"/>
        <item x="358"/>
        <item x="423"/>
        <item x="263"/>
        <item x="466"/>
        <item x="223"/>
        <item x="531"/>
        <item x="554"/>
        <item x="446"/>
        <item x="367"/>
        <item x="189"/>
        <item x="137"/>
        <item x="149"/>
        <item x="524"/>
        <item x="487"/>
        <item x="163"/>
        <item x="39"/>
        <item x="570"/>
        <item x="293"/>
        <item x="251"/>
        <item x="432"/>
        <item x="438"/>
        <item x="521"/>
        <item x="123"/>
        <item x="535"/>
        <item x="563"/>
        <item x="236"/>
        <item x="522"/>
        <item x="321"/>
        <item x="483"/>
        <item x="461"/>
        <item x="530"/>
        <item x="472"/>
        <item x="584"/>
        <item x="512"/>
        <item x="568"/>
        <item x="121"/>
        <item x="548"/>
      </items>
    </pivotField>
    <pivotField dataField="1" showAll="0" defaultSubtotal="0">
      <items count="158">
        <item x="154"/>
        <item x="121"/>
        <item x="81"/>
        <item x="74"/>
        <item x="54"/>
        <item x="51"/>
        <item x="78"/>
        <item x="118"/>
        <item x="122"/>
        <item x="63"/>
        <item x="124"/>
        <item x="99"/>
        <item x="64"/>
        <item x="90"/>
        <item x="68"/>
        <item x="70"/>
        <item x="45"/>
        <item x="97"/>
        <item x="80"/>
        <item x="47"/>
        <item x="119"/>
        <item x="77"/>
        <item x="56"/>
        <item x="84"/>
        <item x="44"/>
        <item x="69"/>
        <item x="61"/>
        <item x="108"/>
        <item x="75"/>
        <item x="88"/>
        <item x="65"/>
        <item x="94"/>
        <item x="98"/>
        <item x="59"/>
        <item x="89"/>
        <item x="85"/>
        <item x="120"/>
        <item x="52"/>
        <item x="123"/>
        <item x="40"/>
        <item x="131"/>
        <item x="93"/>
        <item x="42"/>
        <item x="132"/>
        <item x="126"/>
        <item x="48"/>
        <item x="133"/>
        <item x="117"/>
        <item x="128"/>
        <item x="72"/>
        <item x="73"/>
        <item x="66"/>
        <item x="57"/>
        <item x="86"/>
        <item x="71"/>
        <item x="102"/>
        <item x="55"/>
        <item x="101"/>
        <item x="41"/>
        <item x="53"/>
        <item x="127"/>
        <item x="83"/>
        <item x="130"/>
        <item x="67"/>
        <item x="125"/>
        <item x="91"/>
        <item x="109"/>
        <item x="46"/>
        <item x="92"/>
        <item x="140"/>
        <item x="82"/>
        <item x="137"/>
        <item x="151"/>
        <item x="100"/>
        <item x="34"/>
        <item x="157"/>
        <item x="28"/>
        <item x="62"/>
        <item x="129"/>
        <item x="103"/>
        <item x="153"/>
        <item x="60"/>
        <item x="138"/>
        <item x="143"/>
        <item x="79"/>
        <item x="146"/>
        <item x="49"/>
        <item x="50"/>
        <item x="139"/>
        <item x="156"/>
        <item x="149"/>
        <item x="147"/>
        <item x="144"/>
        <item x="43"/>
        <item x="136"/>
        <item x="96"/>
        <item x="115"/>
        <item x="150"/>
        <item x="114"/>
        <item x="142"/>
        <item x="111"/>
        <item x="76"/>
        <item x="112"/>
        <item x="113"/>
        <item x="152"/>
        <item x="148"/>
        <item x="30"/>
        <item x="141"/>
        <item x="58"/>
        <item x="107"/>
        <item x="155"/>
        <item x="87"/>
        <item x="135"/>
        <item x="104"/>
        <item x="110"/>
        <item x="95"/>
        <item x="23"/>
        <item x="116"/>
        <item x="145"/>
        <item x="134"/>
        <item x="6"/>
        <item x="106"/>
        <item x="26"/>
        <item x="39"/>
        <item x="24"/>
        <item x="105"/>
        <item x="37"/>
        <item x="7"/>
        <item x="3"/>
        <item x="25"/>
        <item x="21"/>
        <item x="29"/>
        <item x="5"/>
        <item x="22"/>
        <item x="31"/>
        <item x="19"/>
        <item x="38"/>
        <item x="35"/>
        <item x="36"/>
        <item x="33"/>
        <item x="32"/>
        <item x="16"/>
        <item x="2"/>
        <item x="1"/>
        <item x="10"/>
        <item x="4"/>
        <item x="27"/>
        <item x="17"/>
        <item x="15"/>
        <item x="8"/>
        <item x="18"/>
        <item x="13"/>
        <item x="14"/>
        <item x="12"/>
        <item x="11"/>
        <item x="20"/>
        <item x="9"/>
        <item x="0"/>
      </items>
    </pivotField>
    <pivotField dataField="1" showAll="0" defaultSubtotal="0">
      <items count="404">
        <item x="267"/>
        <item x="203"/>
        <item x="286"/>
        <item x="138"/>
        <item x="71"/>
        <item x="104"/>
        <item x="93"/>
        <item x="157"/>
        <item x="298"/>
        <item x="66"/>
        <item x="86"/>
        <item x="49"/>
        <item x="248"/>
        <item x="277"/>
        <item x="284"/>
        <item x="46"/>
        <item x="31"/>
        <item x="25"/>
        <item x="63"/>
        <item x="131"/>
        <item x="244"/>
        <item x="6"/>
        <item x="288"/>
        <item x="261"/>
        <item x="241"/>
        <item x="294"/>
        <item x="210"/>
        <item x="169"/>
        <item x="102"/>
        <item x="198"/>
        <item x="180"/>
        <item x="323"/>
        <item x="354"/>
        <item x="27"/>
        <item x="226"/>
        <item x="165"/>
        <item x="56"/>
        <item x="238"/>
        <item x="170"/>
        <item x="98"/>
        <item x="219"/>
        <item x="7"/>
        <item x="3"/>
        <item x="146"/>
        <item x="82"/>
        <item x="100"/>
        <item x="251"/>
        <item x="171"/>
        <item x="57"/>
        <item x="260"/>
        <item x="122"/>
        <item x="325"/>
        <item x="297"/>
        <item x="5"/>
        <item x="218"/>
        <item x="23"/>
        <item x="42"/>
        <item x="135"/>
        <item x="312"/>
        <item x="162"/>
        <item x="62"/>
        <item x="21"/>
        <item x="159"/>
        <item x="364"/>
        <item x="207"/>
        <item x="249"/>
        <item x="85"/>
        <item x="18"/>
        <item x="125"/>
        <item x="70"/>
        <item x="229"/>
        <item x="152"/>
        <item x="254"/>
        <item x="72"/>
        <item x="258"/>
        <item x="139"/>
        <item x="359"/>
        <item x="51"/>
        <item x="87"/>
        <item x="156"/>
        <item x="295"/>
        <item x="68"/>
        <item x="92"/>
        <item x="208"/>
        <item x="101"/>
        <item x="41"/>
        <item x="282"/>
        <item x="147"/>
        <item x="304"/>
        <item x="136"/>
        <item x="75"/>
        <item x="372"/>
        <item x="83"/>
        <item x="211"/>
        <item x="34"/>
        <item x="281"/>
        <item x="16"/>
        <item x="299"/>
        <item x="292"/>
        <item x="94"/>
        <item x="163"/>
        <item x="204"/>
        <item x="22"/>
        <item x="61"/>
        <item x="2"/>
        <item x="1"/>
        <item x="319"/>
        <item x="26"/>
        <item x="190"/>
        <item x="84"/>
        <item x="96"/>
        <item x="77"/>
        <item x="250"/>
        <item x="10"/>
        <item x="263"/>
        <item x="196"/>
        <item x="4"/>
        <item x="134"/>
        <item x="148"/>
        <item x="242"/>
        <item x="217"/>
        <item x="274"/>
        <item x="113"/>
        <item x="175"/>
        <item x="184"/>
        <item x="58"/>
        <item x="270"/>
        <item x="15"/>
        <item x="127"/>
        <item x="195"/>
        <item x="290"/>
        <item x="144"/>
        <item x="110"/>
        <item x="20"/>
        <item x="178"/>
        <item x="47"/>
        <item x="235"/>
        <item x="53"/>
        <item x="124"/>
        <item x="221"/>
        <item x="76"/>
        <item x="107"/>
        <item x="37"/>
        <item x="187"/>
        <item x="326"/>
        <item x="280"/>
        <item x="223"/>
        <item x="216"/>
        <item x="186"/>
        <item x="109"/>
        <item x="28"/>
        <item x="293"/>
        <item x="39"/>
        <item x="347"/>
        <item x="106"/>
        <item x="202"/>
        <item x="155"/>
        <item x="140"/>
        <item x="168"/>
        <item x="8"/>
        <item x="17"/>
        <item x="193"/>
        <item x="230"/>
        <item x="35"/>
        <item x="205"/>
        <item x="321"/>
        <item x="273"/>
        <item x="78"/>
        <item x="222"/>
        <item x="115"/>
        <item x="108"/>
        <item x="333"/>
        <item x="90"/>
        <item x="32"/>
        <item x="365"/>
        <item x="33"/>
        <item x="130"/>
        <item x="143"/>
        <item x="191"/>
        <item x="264"/>
        <item x="234"/>
        <item x="306"/>
        <item x="91"/>
        <item x="133"/>
        <item x="389"/>
        <item x="313"/>
        <item x="154"/>
        <item x="166"/>
        <item x="97"/>
        <item x="13"/>
        <item x="30"/>
        <item x="121"/>
        <item x="14"/>
        <item x="105"/>
        <item x="120"/>
        <item x="392"/>
        <item x="353"/>
        <item x="79"/>
        <item x="287"/>
        <item x="192"/>
        <item x="224"/>
        <item x="80"/>
        <item x="153"/>
        <item x="118"/>
        <item x="142"/>
        <item x="50"/>
        <item x="65"/>
        <item x="275"/>
        <item x="12"/>
        <item x="177"/>
        <item x="29"/>
        <item x="11"/>
        <item x="315"/>
        <item x="38"/>
        <item x="59"/>
        <item x="232"/>
        <item x="167"/>
        <item x="48"/>
        <item x="322"/>
        <item x="160"/>
        <item x="303"/>
        <item x="278"/>
        <item x="161"/>
        <item x="240"/>
        <item x="119"/>
        <item x="103"/>
        <item x="151"/>
        <item x="89"/>
        <item x="64"/>
        <item x="269"/>
        <item x="209"/>
        <item x="88"/>
        <item x="265"/>
        <item x="247"/>
        <item x="215"/>
        <item x="352"/>
        <item x="327"/>
        <item x="116"/>
        <item x="301"/>
        <item x="176"/>
        <item x="363"/>
        <item x="311"/>
        <item x="141"/>
        <item x="262"/>
        <item x="74"/>
        <item x="185"/>
        <item x="256"/>
        <item x="214"/>
        <item x="43"/>
        <item x="182"/>
        <item x="111"/>
        <item x="128"/>
        <item x="233"/>
        <item x="314"/>
        <item x="253"/>
        <item x="362"/>
        <item x="302"/>
        <item x="9"/>
        <item x="220"/>
        <item x="396"/>
        <item x="149"/>
        <item x="117"/>
        <item x="174"/>
        <item x="60"/>
        <item x="318"/>
        <item x="268"/>
        <item x="279"/>
        <item x="201"/>
        <item x="228"/>
        <item x="212"/>
        <item x="199"/>
        <item x="252"/>
        <item x="257"/>
        <item x="213"/>
        <item x="129"/>
        <item x="356"/>
        <item x="227"/>
        <item x="310"/>
        <item x="150"/>
        <item x="255"/>
        <item x="73"/>
        <item x="330"/>
        <item x="173"/>
        <item x="24"/>
        <item x="300"/>
        <item x="355"/>
        <item x="397"/>
        <item x="246"/>
        <item x="398"/>
        <item x="200"/>
        <item x="183"/>
        <item x="338"/>
        <item x="332"/>
        <item x="340"/>
        <item x="285"/>
        <item x="370"/>
        <item x="358"/>
        <item x="181"/>
        <item x="245"/>
        <item x="346"/>
        <item x="331"/>
        <item x="237"/>
        <item x="383"/>
        <item x="189"/>
        <item x="361"/>
        <item x="344"/>
        <item x="307"/>
        <item x="386"/>
        <item x="164"/>
        <item x="379"/>
        <item x="99"/>
        <item x="367"/>
        <item x="374"/>
        <item x="291"/>
        <item x="316"/>
        <item x="272"/>
        <item x="44"/>
        <item x="45"/>
        <item x="343"/>
        <item x="172"/>
        <item x="55"/>
        <item x="401"/>
        <item x="239"/>
        <item x="126"/>
        <item x="360"/>
        <item x="380"/>
        <item x="54"/>
        <item x="69"/>
        <item x="197"/>
        <item x="309"/>
        <item x="114"/>
        <item x="336"/>
        <item x="188"/>
        <item x="369"/>
        <item x="225"/>
        <item x="329"/>
        <item x="266"/>
        <item x="317"/>
        <item x="179"/>
        <item x="137"/>
        <item x="393"/>
        <item x="40"/>
        <item x="305"/>
        <item x="335"/>
        <item x="259"/>
        <item x="382"/>
        <item x="349"/>
        <item x="276"/>
        <item x="351"/>
        <item x="348"/>
        <item x="243"/>
        <item x="158"/>
        <item x="345"/>
        <item x="376"/>
        <item x="394"/>
        <item x="271"/>
        <item x="390"/>
        <item x="289"/>
        <item x="328"/>
        <item x="231"/>
        <item x="112"/>
        <item x="391"/>
        <item x="381"/>
        <item x="320"/>
        <item x="0"/>
        <item x="283"/>
        <item x="342"/>
        <item x="95"/>
        <item x="339"/>
        <item x="385"/>
        <item x="296"/>
        <item x="145"/>
        <item x="395"/>
        <item x="350"/>
        <item x="81"/>
        <item x="378"/>
        <item x="400"/>
        <item x="67"/>
        <item x="324"/>
        <item x="371"/>
        <item x="308"/>
        <item x="19"/>
        <item x="384"/>
        <item x="373"/>
        <item x="377"/>
        <item x="52"/>
        <item x="387"/>
        <item x="334"/>
        <item x="357"/>
        <item x="341"/>
        <item x="368"/>
        <item x="206"/>
        <item x="375"/>
        <item x="337"/>
        <item x="366"/>
        <item x="399"/>
        <item x="388"/>
        <item x="236"/>
        <item x="36"/>
        <item x="194"/>
        <item x="132"/>
        <item x="123"/>
        <item x="402"/>
        <item x="403"/>
      </items>
    </pivotField>
    <pivotField dataField="1" showAll="0" defaultSubtotal="0">
      <items count="9">
        <item x="4"/>
        <item x="1"/>
        <item x="5"/>
        <item x="6"/>
        <item x="0"/>
        <item x="3"/>
        <item x="7"/>
        <item x="8"/>
        <item x="2"/>
      </items>
    </pivotField>
  </pivotFields>
  <rowFields count="3">
    <field x="2"/>
    <field x="6"/>
    <field x="5"/>
  </rowFields>
  <rowItems count="1659">
    <i>
      <x/>
    </i>
    <i r="1">
      <x/>
      <x v="82"/>
    </i>
    <i r="1">
      <x v="1"/>
      <x v="104"/>
    </i>
    <i r="1">
      <x v="2"/>
      <x v="112"/>
    </i>
    <i r="1">
      <x v="3"/>
      <x v="100"/>
    </i>
    <i r="1">
      <x v="4"/>
      <x v="96"/>
    </i>
    <i r="1">
      <x v="5"/>
      <x v="114"/>
    </i>
    <i r="1">
      <x v="6"/>
      <x v="103"/>
    </i>
    <i r="1">
      <x v="7"/>
      <x v="98"/>
    </i>
    <i r="1">
      <x v="8"/>
      <x v="68"/>
    </i>
    <i r="1">
      <x v="9"/>
      <x v="81"/>
    </i>
    <i r="1">
      <x v="10"/>
      <x v="78"/>
    </i>
    <i r="1">
      <x v="11"/>
      <x v="11"/>
    </i>
    <i r="1">
      <x v="12"/>
      <x v="1"/>
    </i>
    <i r="1">
      <x v="13"/>
      <x v="13"/>
    </i>
    <i r="1">
      <x v="14"/>
      <x/>
    </i>
    <i r="1">
      <x v="15"/>
      <x v="72"/>
    </i>
    <i r="1">
      <x v="16"/>
      <x v="102"/>
    </i>
    <i r="1">
      <x v="17"/>
      <x v="92"/>
    </i>
    <i r="1">
      <x v="18"/>
      <x v="80"/>
    </i>
    <i r="1">
      <x v="19"/>
      <x v="111"/>
    </i>
    <i t="blank">
      <x/>
    </i>
    <i>
      <x v="1"/>
    </i>
    <i r="1">
      <x/>
      <x v="82"/>
    </i>
    <i r="1">
      <x v="1"/>
      <x v="104"/>
    </i>
    <i r="1">
      <x v="2"/>
      <x v="96"/>
    </i>
    <i r="1">
      <x v="3"/>
      <x v="100"/>
    </i>
    <i r="1">
      <x v="4"/>
      <x v="114"/>
    </i>
    <i r="1">
      <x v="5"/>
      <x v="112"/>
    </i>
    <i r="1">
      <x v="6"/>
      <x v="98"/>
    </i>
    <i r="1">
      <x v="7"/>
      <x v="81"/>
    </i>
    <i r="1">
      <x v="8"/>
      <x v="103"/>
    </i>
    <i r="1">
      <x v="9"/>
      <x v="78"/>
    </i>
    <i r="2">
      <x v="99"/>
    </i>
    <i r="1">
      <x v="11"/>
      <x v="92"/>
    </i>
    <i r="1">
      <x v="12"/>
      <x v="84"/>
    </i>
    <i r="1">
      <x v="13"/>
      <x v="80"/>
    </i>
    <i r="1">
      <x v="14"/>
      <x v="88"/>
    </i>
    <i r="1">
      <x v="15"/>
      <x v="11"/>
    </i>
    <i r="1">
      <x v="16"/>
      <x v="13"/>
    </i>
    <i r="1">
      <x v="17"/>
      <x v="59"/>
    </i>
    <i r="1">
      <x v="18"/>
      <x v="102"/>
    </i>
    <i r="1">
      <x v="19"/>
      <x v="55"/>
    </i>
    <i t="blank">
      <x v="1"/>
    </i>
    <i>
      <x v="2"/>
    </i>
    <i r="1">
      <x/>
      <x v="82"/>
    </i>
    <i r="1">
      <x v="1"/>
      <x v="104"/>
    </i>
    <i r="1">
      <x v="2"/>
      <x v="96"/>
    </i>
    <i r="1">
      <x v="3"/>
      <x v="112"/>
    </i>
    <i r="1">
      <x v="4"/>
      <x v="81"/>
    </i>
    <i r="1">
      <x v="5"/>
      <x v="114"/>
    </i>
    <i r="1">
      <x v="6"/>
      <x v="100"/>
    </i>
    <i r="1">
      <x v="7"/>
      <x v="92"/>
    </i>
    <i r="2">
      <x v="98"/>
    </i>
    <i r="1">
      <x v="9"/>
      <x v="78"/>
    </i>
    <i r="1">
      <x v="10"/>
      <x v="80"/>
    </i>
    <i r="1">
      <x v="11"/>
      <x v="84"/>
    </i>
    <i r="1">
      <x v="12"/>
      <x v="88"/>
    </i>
    <i r="1">
      <x v="13"/>
      <x v="111"/>
    </i>
    <i r="1">
      <x v="14"/>
      <x v="59"/>
    </i>
    <i r="1">
      <x v="15"/>
      <x v="103"/>
    </i>
    <i r="1">
      <x v="16"/>
      <x v="91"/>
    </i>
    <i r="2">
      <x v="105"/>
    </i>
    <i r="1">
      <x v="18"/>
      <x v="90"/>
    </i>
    <i r="1">
      <x v="19"/>
      <x v="120"/>
    </i>
    <i t="blank">
      <x v="2"/>
    </i>
    <i>
      <x v="3"/>
    </i>
    <i r="1">
      <x/>
      <x v="82"/>
    </i>
    <i r="1">
      <x v="1"/>
      <x v="96"/>
    </i>
    <i r="1">
      <x v="2"/>
      <x v="81"/>
    </i>
    <i r="1">
      <x v="3"/>
      <x v="104"/>
    </i>
    <i r="1">
      <x v="4"/>
      <x v="80"/>
    </i>
    <i r="1">
      <x v="5"/>
      <x v="88"/>
    </i>
    <i r="1">
      <x v="6"/>
      <x v="100"/>
    </i>
    <i r="1">
      <x v="7"/>
      <x v="112"/>
    </i>
    <i r="1">
      <x v="8"/>
      <x v="92"/>
    </i>
    <i r="1">
      <x v="9"/>
      <x v="84"/>
    </i>
    <i r="1">
      <x v="10"/>
      <x v="114"/>
    </i>
    <i r="1">
      <x v="11"/>
      <x v="78"/>
    </i>
    <i r="2">
      <x v="98"/>
    </i>
    <i r="1">
      <x v="13"/>
      <x v="86"/>
    </i>
    <i r="2">
      <x v="91"/>
    </i>
    <i r="1">
      <x v="15"/>
      <x v="120"/>
    </i>
    <i r="1">
      <x v="16"/>
      <x v="59"/>
    </i>
    <i r="2">
      <x v="105"/>
    </i>
    <i r="1">
      <x v="18"/>
      <x v="90"/>
    </i>
    <i r="1">
      <x v="19"/>
      <x v="87"/>
    </i>
    <i r="2">
      <x v="89"/>
    </i>
    <i t="blank">
      <x v="3"/>
    </i>
    <i>
      <x v="4"/>
    </i>
    <i r="1">
      <x/>
      <x v="82"/>
    </i>
    <i r="1">
      <x v="1"/>
      <x v="104"/>
    </i>
    <i r="1">
      <x v="2"/>
      <x v="100"/>
    </i>
    <i r="1">
      <x v="3"/>
      <x v="114"/>
    </i>
    <i r="1">
      <x v="4"/>
      <x v="98"/>
    </i>
    <i r="1">
      <x v="5"/>
      <x v="11"/>
    </i>
    <i r="1">
      <x v="6"/>
      <x v="96"/>
    </i>
    <i r="1">
      <x v="7"/>
      <x v="103"/>
    </i>
    <i r="1">
      <x v="8"/>
      <x v="112"/>
    </i>
    <i r="1">
      <x v="9"/>
      <x v="13"/>
    </i>
    <i r="1">
      <x v="10"/>
      <x v="9"/>
    </i>
    <i r="1">
      <x v="11"/>
      <x v="78"/>
    </i>
    <i r="1">
      <x v="12"/>
      <x v="92"/>
    </i>
    <i r="1">
      <x v="13"/>
      <x v="67"/>
    </i>
    <i r="2">
      <x v="88"/>
    </i>
    <i r="1">
      <x v="15"/>
      <x v="28"/>
    </i>
    <i r="1">
      <x v="16"/>
      <x v="59"/>
    </i>
    <i r="1">
      <x v="17"/>
      <x v="84"/>
    </i>
    <i r="1">
      <x v="18"/>
      <x v="1"/>
    </i>
    <i r="2">
      <x v="81"/>
    </i>
    <i t="blank">
      <x v="4"/>
    </i>
    <i>
      <x v="5"/>
    </i>
    <i r="1">
      <x/>
      <x v="82"/>
    </i>
    <i r="1">
      <x v="1"/>
      <x v="100"/>
    </i>
    <i r="1">
      <x v="2"/>
      <x v="104"/>
    </i>
    <i r="1">
      <x v="3"/>
      <x v="96"/>
    </i>
    <i r="1">
      <x v="4"/>
      <x v="98"/>
    </i>
    <i r="1">
      <x v="5"/>
      <x v="114"/>
    </i>
    <i r="1">
      <x v="6"/>
      <x v="103"/>
    </i>
    <i r="1">
      <x v="7"/>
      <x v="112"/>
    </i>
    <i r="1">
      <x v="8"/>
      <x v="81"/>
    </i>
    <i r="1">
      <x v="9"/>
      <x v="28"/>
    </i>
    <i r="1">
      <x v="10"/>
      <x v="51"/>
    </i>
    <i r="1">
      <x v="11"/>
      <x v="13"/>
    </i>
    <i r="1">
      <x v="12"/>
      <x v="1"/>
    </i>
    <i r="1">
      <x v="13"/>
      <x v="11"/>
    </i>
    <i r="1">
      <x v="14"/>
      <x v="59"/>
    </i>
    <i r="1">
      <x v="15"/>
      <x v="55"/>
    </i>
    <i r="2">
      <x v="118"/>
    </i>
    <i r="1">
      <x v="17"/>
      <x v="92"/>
    </i>
    <i r="1">
      <x v="18"/>
      <x v="88"/>
    </i>
    <i r="1">
      <x v="19"/>
      <x v="72"/>
    </i>
    <i r="2">
      <x v="78"/>
    </i>
    <i t="blank">
      <x v="5"/>
    </i>
    <i>
      <x v="6"/>
    </i>
    <i r="1">
      <x/>
      <x v="82"/>
    </i>
    <i r="1">
      <x v="1"/>
      <x v="104"/>
    </i>
    <i r="1">
      <x v="2"/>
      <x v="96"/>
    </i>
    <i r="1">
      <x v="3"/>
      <x v="100"/>
    </i>
    <i r="1">
      <x v="4"/>
      <x v="98"/>
    </i>
    <i r="1">
      <x v="5"/>
      <x v="81"/>
    </i>
    <i r="1">
      <x v="6"/>
      <x v="114"/>
    </i>
    <i r="1">
      <x v="7"/>
      <x v="112"/>
    </i>
    <i r="1">
      <x v="8"/>
      <x v="88"/>
    </i>
    <i r="1">
      <x v="9"/>
      <x v="120"/>
    </i>
    <i r="1">
      <x v="10"/>
      <x v="57"/>
    </i>
    <i r="1">
      <x v="11"/>
      <x v="78"/>
    </i>
    <i r="1">
      <x v="12"/>
      <x v="103"/>
    </i>
    <i r="1">
      <x v="13"/>
      <x v="67"/>
    </i>
    <i r="1">
      <x v="14"/>
      <x v="43"/>
    </i>
    <i r="1">
      <x v="15"/>
      <x v="59"/>
    </i>
    <i r="1">
      <x v="16"/>
      <x v="61"/>
    </i>
    <i r="1">
      <x v="17"/>
      <x v="72"/>
    </i>
    <i r="1">
      <x v="18"/>
      <x v="91"/>
    </i>
    <i r="2">
      <x v="106"/>
    </i>
    <i t="blank">
      <x v="6"/>
    </i>
    <i>
      <x v="7"/>
    </i>
    <i r="1">
      <x/>
      <x v="99"/>
    </i>
    <i r="1">
      <x v="1"/>
      <x v="96"/>
    </i>
    <i r="1">
      <x v="2"/>
      <x v="86"/>
    </i>
    <i r="1">
      <x v="3"/>
      <x v="82"/>
    </i>
    <i r="1">
      <x v="4"/>
      <x v="98"/>
    </i>
    <i r="1">
      <x v="5"/>
      <x v="81"/>
    </i>
    <i r="1">
      <x v="6"/>
      <x v="78"/>
    </i>
    <i r="1">
      <x v="7"/>
      <x v="92"/>
    </i>
    <i r="1">
      <x v="8"/>
      <x v="88"/>
    </i>
    <i r="2">
      <x v="104"/>
    </i>
    <i r="1">
      <x v="10"/>
      <x v="43"/>
    </i>
    <i r="1">
      <x v="11"/>
      <x v="61"/>
    </i>
    <i r="1">
      <x v="12"/>
      <x v="120"/>
    </i>
    <i r="1">
      <x v="13"/>
      <x v="80"/>
    </i>
    <i r="1">
      <x v="14"/>
      <x v="100"/>
    </i>
    <i r="1">
      <x v="15"/>
      <x v="112"/>
    </i>
    <i r="1">
      <x v="16"/>
      <x v="91"/>
    </i>
    <i r="1">
      <x v="17"/>
      <x v="105"/>
    </i>
    <i r="1">
      <x v="18"/>
      <x v="59"/>
    </i>
    <i r="1">
      <x v="19"/>
      <x v="114"/>
    </i>
    <i t="blank">
      <x v="7"/>
    </i>
    <i>
      <x v="8"/>
    </i>
    <i r="1">
      <x/>
      <x v="82"/>
    </i>
    <i r="1">
      <x v="1"/>
      <x v="104"/>
    </i>
    <i r="1">
      <x v="2"/>
      <x v="96"/>
    </i>
    <i r="1">
      <x v="3"/>
      <x v="100"/>
    </i>
    <i r="1">
      <x v="4"/>
      <x v="112"/>
    </i>
    <i r="1">
      <x v="5"/>
      <x v="114"/>
    </i>
    <i r="1">
      <x v="6"/>
      <x v="81"/>
    </i>
    <i r="1">
      <x v="7"/>
      <x v="78"/>
    </i>
    <i r="1">
      <x v="8"/>
      <x v="80"/>
    </i>
    <i r="2">
      <x v="103"/>
    </i>
    <i r="1">
      <x v="10"/>
      <x v="84"/>
    </i>
    <i r="1">
      <x v="11"/>
      <x v="92"/>
    </i>
    <i r="1">
      <x v="12"/>
      <x v="98"/>
    </i>
    <i r="1">
      <x v="13"/>
      <x v="102"/>
    </i>
    <i r="1">
      <x v="14"/>
      <x v="88"/>
    </i>
    <i r="1">
      <x v="15"/>
      <x v="28"/>
    </i>
    <i r="1">
      <x v="16"/>
      <x v="67"/>
    </i>
    <i r="1">
      <x v="17"/>
      <x v="59"/>
    </i>
    <i r="1">
      <x v="18"/>
      <x v="61"/>
    </i>
    <i r="2">
      <x v="105"/>
    </i>
    <i t="blank">
      <x v="8"/>
    </i>
    <i>
      <x v="9"/>
    </i>
    <i r="1">
      <x/>
      <x v="82"/>
    </i>
    <i r="1">
      <x v="1"/>
      <x v="112"/>
    </i>
    <i r="1">
      <x v="2"/>
      <x v="104"/>
    </i>
    <i r="1">
      <x v="3"/>
      <x v="114"/>
    </i>
    <i r="1">
      <x v="4"/>
      <x v="100"/>
    </i>
    <i r="1">
      <x v="5"/>
      <x v="96"/>
    </i>
    <i r="1">
      <x v="6"/>
      <x v="81"/>
    </i>
    <i r="1">
      <x v="7"/>
      <x v="103"/>
    </i>
    <i r="1">
      <x v="8"/>
      <x v="98"/>
    </i>
    <i r="1">
      <x v="9"/>
      <x v="88"/>
    </i>
    <i r="1">
      <x v="10"/>
      <x v="67"/>
    </i>
    <i r="2">
      <x v="102"/>
    </i>
    <i r="1">
      <x v="12"/>
      <x v="84"/>
    </i>
    <i r="1">
      <x v="13"/>
      <x v="78"/>
    </i>
    <i r="1">
      <x v="14"/>
      <x v="11"/>
    </i>
    <i r="2">
      <x v="72"/>
    </i>
    <i r="1">
      <x v="16"/>
      <x v="111"/>
    </i>
    <i r="1">
      <x v="17"/>
      <x v="55"/>
    </i>
    <i r="2">
      <x v="80"/>
    </i>
    <i r="1">
      <x v="19"/>
      <x v="83"/>
    </i>
    <i r="2">
      <x v="106"/>
    </i>
    <i t="blank">
      <x v="9"/>
    </i>
    <i>
      <x v="10"/>
    </i>
    <i r="1">
      <x/>
      <x v="82"/>
    </i>
    <i r="1">
      <x v="1"/>
      <x v="100"/>
    </i>
    <i r="1">
      <x v="2"/>
      <x v="98"/>
    </i>
    <i r="1">
      <x v="3"/>
      <x v="104"/>
    </i>
    <i r="1">
      <x v="4"/>
      <x v="96"/>
    </i>
    <i r="1">
      <x v="5"/>
      <x v="103"/>
    </i>
    <i r="1">
      <x v="6"/>
      <x v="114"/>
    </i>
    <i r="1">
      <x v="7"/>
      <x v="81"/>
    </i>
    <i r="1">
      <x v="8"/>
      <x v="55"/>
    </i>
    <i r="1">
      <x v="9"/>
      <x v="112"/>
    </i>
    <i r="1">
      <x v="10"/>
      <x v="50"/>
    </i>
    <i r="2">
      <x v="59"/>
    </i>
    <i r="1">
      <x v="12"/>
      <x v="78"/>
    </i>
    <i r="1">
      <x v="13"/>
      <x v="51"/>
    </i>
    <i r="1">
      <x v="14"/>
      <x v="72"/>
    </i>
    <i r="1">
      <x v="15"/>
      <x v="1"/>
    </i>
    <i r="2">
      <x v="67"/>
    </i>
    <i r="1">
      <x v="17"/>
      <x v="88"/>
    </i>
    <i r="1">
      <x v="18"/>
      <x v="53"/>
    </i>
    <i r="2">
      <x v="105"/>
    </i>
    <i t="blank">
      <x v="10"/>
    </i>
    <i>
      <x v="11"/>
    </i>
    <i r="1">
      <x/>
      <x v="104"/>
    </i>
    <i r="1">
      <x v="1"/>
      <x v="100"/>
    </i>
    <i r="1">
      <x v="2"/>
      <x v="103"/>
    </i>
    <i r="1">
      <x v="3"/>
      <x v="82"/>
    </i>
    <i r="1">
      <x v="4"/>
      <x v="114"/>
    </i>
    <i r="1">
      <x v="5"/>
      <x v="98"/>
    </i>
    <i r="1">
      <x v="6"/>
      <x v="96"/>
    </i>
    <i r="1">
      <x v="7"/>
      <x v="68"/>
    </i>
    <i r="1">
      <x v="8"/>
      <x v="118"/>
    </i>
    <i r="1">
      <x v="9"/>
      <x v="112"/>
    </i>
    <i r="1">
      <x v="10"/>
      <x v="11"/>
    </i>
    <i r="1">
      <x v="11"/>
      <x v="36"/>
    </i>
    <i r="1">
      <x v="12"/>
      <x v="13"/>
    </i>
    <i r="1">
      <x v="13"/>
      <x v="37"/>
    </i>
    <i r="1">
      <x v="14"/>
      <x v="55"/>
    </i>
    <i r="1">
      <x v="15"/>
      <x v="67"/>
    </i>
    <i r="1">
      <x v="16"/>
      <x v="59"/>
    </i>
    <i r="1">
      <x v="17"/>
      <x v="102"/>
    </i>
    <i r="1">
      <x v="18"/>
      <x v="78"/>
    </i>
    <i r="1">
      <x v="19"/>
      <x v="69"/>
    </i>
    <i t="blank">
      <x v="11"/>
    </i>
    <i>
      <x v="12"/>
    </i>
    <i r="1">
      <x/>
      <x v="100"/>
    </i>
    <i r="1">
      <x v="1"/>
      <x v="104"/>
    </i>
    <i r="1">
      <x v="2"/>
      <x v="36"/>
    </i>
    <i r="1">
      <x v="3"/>
      <x v="82"/>
    </i>
    <i r="1">
      <x v="4"/>
      <x v="98"/>
    </i>
    <i r="1">
      <x v="5"/>
      <x v="103"/>
    </i>
    <i r="1">
      <x v="6"/>
      <x v="96"/>
    </i>
    <i r="1">
      <x v="7"/>
      <x v="114"/>
    </i>
    <i r="1">
      <x v="8"/>
      <x v="11"/>
    </i>
    <i r="1">
      <x v="9"/>
      <x v="68"/>
    </i>
    <i r="1">
      <x v="10"/>
      <x v="13"/>
    </i>
    <i r="1">
      <x v="11"/>
      <x v="112"/>
    </i>
    <i r="2">
      <x v="118"/>
    </i>
    <i r="1">
      <x v="13"/>
      <x v="37"/>
    </i>
    <i r="2">
      <x v="81"/>
    </i>
    <i r="1">
      <x v="15"/>
      <x v="78"/>
    </i>
    <i r="1">
      <x v="16"/>
      <x/>
    </i>
    <i r="1">
      <x v="17"/>
      <x v="10"/>
    </i>
    <i r="2">
      <x v="38"/>
    </i>
    <i r="1">
      <x v="19"/>
      <x v="5"/>
    </i>
    <i t="blank">
      <x v="12"/>
    </i>
    <i>
      <x v="13"/>
    </i>
    <i r="1">
      <x/>
      <x v="104"/>
    </i>
    <i r="1">
      <x v="1"/>
      <x v="103"/>
    </i>
    <i r="1">
      <x v="2"/>
      <x v="100"/>
    </i>
    <i r="1">
      <x v="3"/>
      <x v="98"/>
    </i>
    <i r="1">
      <x v="4"/>
      <x v="114"/>
    </i>
    <i r="1">
      <x v="5"/>
      <x v="82"/>
    </i>
    <i r="1">
      <x v="6"/>
      <x v="13"/>
    </i>
    <i r="1">
      <x v="7"/>
      <x v="37"/>
    </i>
    <i r="1">
      <x v="8"/>
      <x v="102"/>
    </i>
    <i r="2">
      <x v="112"/>
    </i>
    <i r="1">
      <x v="10"/>
      <x v="78"/>
    </i>
    <i r="1">
      <x v="11"/>
      <x v="96"/>
    </i>
    <i r="1">
      <x v="12"/>
      <x v="81"/>
    </i>
    <i r="1">
      <x v="13"/>
      <x v="40"/>
    </i>
    <i r="1">
      <x v="14"/>
      <x v="11"/>
    </i>
    <i r="1">
      <x v="15"/>
      <x v="38"/>
    </i>
    <i r="1">
      <x v="16"/>
      <x v="36"/>
    </i>
    <i r="1">
      <x v="17"/>
      <x v="69"/>
    </i>
    <i r="1">
      <x v="18"/>
      <x v="67"/>
    </i>
    <i r="2">
      <x v="84"/>
    </i>
    <i r="2">
      <x v="106"/>
    </i>
    <i t="blank">
      <x v="13"/>
    </i>
    <i>
      <x v="14"/>
    </i>
    <i r="1">
      <x/>
      <x v="82"/>
    </i>
    <i r="1">
      <x v="1"/>
      <x v="104"/>
    </i>
    <i r="1">
      <x v="2"/>
      <x v="100"/>
    </i>
    <i r="1">
      <x v="3"/>
      <x v="11"/>
    </i>
    <i r="2">
      <x v="112"/>
    </i>
    <i r="1">
      <x v="5"/>
      <x v="68"/>
    </i>
    <i r="2">
      <x v="114"/>
    </i>
    <i r="1">
      <x v="7"/>
      <x v="103"/>
    </i>
    <i r="1">
      <x v="8"/>
      <x v="13"/>
    </i>
    <i r="1">
      <x v="9"/>
      <x v="111"/>
    </i>
    <i r="1">
      <x v="10"/>
      <x v="81"/>
    </i>
    <i r="1">
      <x v="11"/>
      <x v="118"/>
    </i>
    <i r="1">
      <x v="12"/>
      <x v="98"/>
    </i>
    <i r="1">
      <x v="13"/>
      <x v="10"/>
    </i>
    <i r="1">
      <x v="14"/>
      <x v="1"/>
    </i>
    <i r="1">
      <x v="15"/>
      <x/>
    </i>
    <i r="1">
      <x v="16"/>
      <x v="102"/>
    </i>
    <i r="1">
      <x v="17"/>
      <x v="84"/>
    </i>
    <i r="1">
      <x v="18"/>
      <x v="96"/>
    </i>
    <i r="1">
      <x v="19"/>
      <x v="3"/>
    </i>
    <i r="2">
      <x v="9"/>
    </i>
    <i r="2">
      <x v="59"/>
    </i>
    <i r="2">
      <x v="72"/>
    </i>
    <i t="blank">
      <x v="14"/>
    </i>
    <i>
      <x v="15"/>
    </i>
    <i r="1">
      <x/>
      <x v="104"/>
    </i>
    <i r="1">
      <x v="1"/>
      <x v="112"/>
    </i>
    <i r="1">
      <x v="2"/>
      <x v="82"/>
    </i>
    <i r="1">
      <x v="3"/>
      <x v="114"/>
    </i>
    <i r="1">
      <x v="4"/>
      <x v="103"/>
    </i>
    <i r="1">
      <x v="5"/>
      <x v="13"/>
    </i>
    <i r="1">
      <x v="6"/>
      <x v="100"/>
    </i>
    <i r="1">
      <x v="7"/>
      <x v="111"/>
    </i>
    <i r="1">
      <x v="8"/>
      <x v="11"/>
    </i>
    <i r="1">
      <x v="9"/>
      <x v="68"/>
    </i>
    <i r="1">
      <x v="10"/>
      <x v="96"/>
    </i>
    <i r="1">
      <x v="11"/>
      <x v="106"/>
    </i>
    <i r="1">
      <x v="12"/>
      <x v="38"/>
    </i>
    <i r="1">
      <x v="13"/>
      <x/>
    </i>
    <i r="1">
      <x v="14"/>
      <x v="3"/>
    </i>
    <i r="1">
      <x v="15"/>
      <x v="37"/>
    </i>
    <i r="1">
      <x v="16"/>
      <x v="8"/>
    </i>
    <i r="2">
      <x v="36"/>
    </i>
    <i r="2">
      <x v="80"/>
    </i>
    <i r="2">
      <x v="81"/>
    </i>
    <i t="blank">
      <x v="15"/>
    </i>
    <i>
      <x v="16"/>
    </i>
    <i r="1">
      <x/>
      <x v="82"/>
    </i>
    <i r="1">
      <x v="1"/>
      <x v="104"/>
    </i>
    <i r="1">
      <x v="2"/>
      <x v="112"/>
    </i>
    <i r="1">
      <x v="3"/>
      <x v="96"/>
    </i>
    <i r="2">
      <x v="114"/>
    </i>
    <i r="1">
      <x v="5"/>
      <x v="81"/>
    </i>
    <i r="1">
      <x v="6"/>
      <x v="103"/>
    </i>
    <i r="1">
      <x v="7"/>
      <x v="100"/>
    </i>
    <i r="1">
      <x v="8"/>
      <x v="98"/>
    </i>
    <i r="1">
      <x v="9"/>
      <x v="80"/>
    </i>
    <i r="2">
      <x v="84"/>
    </i>
    <i r="1">
      <x v="11"/>
      <x v="55"/>
    </i>
    <i r="1">
      <x v="12"/>
      <x v="92"/>
    </i>
    <i r="1">
      <x v="13"/>
      <x v="111"/>
    </i>
    <i r="1">
      <x v="14"/>
      <x v="88"/>
    </i>
    <i r="1">
      <x v="15"/>
      <x v="102"/>
    </i>
    <i r="1">
      <x v="16"/>
      <x v="78"/>
    </i>
    <i r="1">
      <x v="17"/>
      <x v="1"/>
    </i>
    <i r="1">
      <x v="18"/>
      <x v="9"/>
    </i>
    <i r="1">
      <x v="19"/>
      <x v="91"/>
    </i>
    <i t="blank">
      <x v="16"/>
    </i>
    <i>
      <x v="17"/>
    </i>
    <i r="1">
      <x/>
      <x v="82"/>
    </i>
    <i r="1">
      <x v="1"/>
      <x v="104"/>
    </i>
    <i r="1">
      <x v="2"/>
      <x v="114"/>
    </i>
    <i r="1">
      <x v="3"/>
      <x v="112"/>
    </i>
    <i r="1">
      <x v="4"/>
      <x v="68"/>
    </i>
    <i r="1">
      <x v="5"/>
      <x v="100"/>
    </i>
    <i r="1">
      <x v="6"/>
      <x v="96"/>
    </i>
    <i r="1">
      <x v="7"/>
      <x v="103"/>
    </i>
    <i r="1">
      <x v="8"/>
      <x v="11"/>
    </i>
    <i r="1">
      <x v="9"/>
      <x v="81"/>
    </i>
    <i r="2">
      <x v="84"/>
    </i>
    <i r="1">
      <x v="11"/>
      <x v="3"/>
    </i>
    <i r="2">
      <x v="98"/>
    </i>
    <i r="1">
      <x v="13"/>
      <x v="13"/>
    </i>
    <i r="1">
      <x v="14"/>
      <x v="92"/>
    </i>
    <i r="1">
      <x v="15"/>
      <x v="80"/>
    </i>
    <i r="1">
      <x v="16"/>
      <x v="9"/>
    </i>
    <i r="1">
      <x v="17"/>
      <x v="111"/>
    </i>
    <i r="1">
      <x v="18"/>
      <x v="102"/>
    </i>
    <i r="1">
      <x v="19"/>
      <x v="88"/>
    </i>
    <i t="blank">
      <x v="17"/>
    </i>
    <i>
      <x v="18"/>
    </i>
    <i r="1">
      <x/>
      <x v="104"/>
    </i>
    <i r="1">
      <x v="1"/>
      <x v="82"/>
    </i>
    <i r="1">
      <x v="2"/>
      <x v="103"/>
    </i>
    <i r="1">
      <x v="3"/>
      <x v="96"/>
    </i>
    <i r="1">
      <x v="4"/>
      <x v="98"/>
    </i>
    <i r="1">
      <x v="5"/>
      <x v="114"/>
    </i>
    <i r="1">
      <x v="6"/>
      <x v="112"/>
    </i>
    <i r="1">
      <x v="7"/>
      <x v="100"/>
    </i>
    <i r="1">
      <x v="8"/>
      <x v="68"/>
    </i>
    <i r="1">
      <x v="9"/>
      <x v="1"/>
    </i>
    <i r="1">
      <x v="10"/>
      <x v="78"/>
    </i>
    <i r="1">
      <x v="11"/>
      <x v="2"/>
    </i>
    <i r="1">
      <x v="12"/>
      <x v="67"/>
    </i>
    <i r="2">
      <x v="92"/>
    </i>
    <i r="1">
      <x v="14"/>
      <x v="72"/>
    </i>
    <i r="1">
      <x v="15"/>
      <x v="99"/>
    </i>
    <i r="1">
      <x v="16"/>
      <x v="11"/>
    </i>
    <i r="1">
      <x v="17"/>
      <x v="102"/>
    </i>
    <i r="1">
      <x v="18"/>
      <x v="81"/>
    </i>
    <i r="1">
      <x v="19"/>
      <x v="80"/>
    </i>
    <i t="blank">
      <x v="18"/>
    </i>
    <i>
      <x v="19"/>
    </i>
    <i r="1">
      <x/>
      <x v="104"/>
    </i>
    <i r="1">
      <x v="1"/>
      <x v="82"/>
    </i>
    <i r="1">
      <x v="2"/>
      <x v="112"/>
    </i>
    <i r="1">
      <x v="3"/>
      <x v="103"/>
    </i>
    <i r="1">
      <x v="4"/>
      <x v="96"/>
    </i>
    <i r="1">
      <x v="5"/>
      <x v="114"/>
    </i>
    <i r="1">
      <x v="6"/>
      <x v="68"/>
    </i>
    <i r="1">
      <x v="7"/>
      <x v="100"/>
    </i>
    <i r="1">
      <x v="8"/>
      <x v="98"/>
    </i>
    <i r="1">
      <x v="9"/>
      <x v="81"/>
    </i>
    <i r="1">
      <x v="10"/>
      <x v="78"/>
    </i>
    <i r="1">
      <x v="11"/>
      <x v="11"/>
    </i>
    <i r="1">
      <x v="12"/>
      <x v="2"/>
    </i>
    <i r="1">
      <x v="13"/>
      <x v="1"/>
    </i>
    <i r="1">
      <x v="14"/>
      <x/>
    </i>
    <i r="1">
      <x v="15"/>
      <x v="72"/>
    </i>
    <i r="2">
      <x v="118"/>
    </i>
    <i r="1">
      <x v="17"/>
      <x v="69"/>
    </i>
    <i r="2">
      <x v="111"/>
    </i>
    <i r="1">
      <x v="19"/>
      <x v="80"/>
    </i>
    <i t="blank">
      <x v="19"/>
    </i>
    <i>
      <x v="20"/>
    </i>
    <i r="1">
      <x/>
      <x v="104"/>
    </i>
    <i r="1">
      <x v="1"/>
      <x v="112"/>
    </i>
    <i r="1">
      <x v="2"/>
      <x v="82"/>
    </i>
    <i r="1">
      <x v="3"/>
      <x v="100"/>
    </i>
    <i r="1">
      <x v="4"/>
      <x v="22"/>
    </i>
    <i r="1">
      <x v="5"/>
      <x v="114"/>
    </i>
    <i r="1">
      <x v="6"/>
      <x v="68"/>
    </i>
    <i r="1">
      <x v="7"/>
      <x v="96"/>
    </i>
    <i r="2">
      <x v="103"/>
    </i>
    <i r="1">
      <x v="9"/>
      <x v="98"/>
    </i>
    <i r="1">
      <x v="10"/>
      <x v="1"/>
    </i>
    <i r="1">
      <x v="11"/>
      <x v="83"/>
    </i>
    <i r="1">
      <x v="12"/>
      <x v="11"/>
    </i>
    <i r="1">
      <x v="13"/>
      <x v="78"/>
    </i>
    <i r="1">
      <x v="14"/>
      <x v="81"/>
    </i>
    <i r="1">
      <x v="15"/>
      <x v="13"/>
    </i>
    <i r="1">
      <x v="16"/>
      <x v="102"/>
    </i>
    <i r="1">
      <x v="17"/>
      <x v="2"/>
    </i>
    <i r="1">
      <x v="18"/>
      <x v="72"/>
    </i>
    <i r="2">
      <x v="118"/>
    </i>
    <i t="blank">
      <x v="20"/>
    </i>
    <i>
      <x v="21"/>
    </i>
    <i r="1">
      <x/>
      <x v="33"/>
    </i>
    <i r="1">
      <x v="1"/>
      <x v="104"/>
    </i>
    <i r="1">
      <x v="2"/>
      <x v="82"/>
    </i>
    <i r="1">
      <x v="3"/>
      <x v="103"/>
    </i>
    <i r="1">
      <x v="4"/>
      <x v="100"/>
    </i>
    <i r="1">
      <x v="5"/>
      <x v="58"/>
    </i>
    <i r="1">
      <x v="6"/>
      <x/>
    </i>
    <i r="1">
      <x v="7"/>
      <x v="68"/>
    </i>
    <i r="2">
      <x v="112"/>
    </i>
    <i r="1">
      <x v="9"/>
      <x v="11"/>
    </i>
    <i r="2">
      <x v="114"/>
    </i>
    <i r="1">
      <x v="11"/>
      <x v="34"/>
    </i>
    <i r="1">
      <x v="12"/>
      <x v="96"/>
    </i>
    <i r="1">
      <x v="13"/>
      <x v="78"/>
    </i>
    <i r="2">
      <x v="92"/>
    </i>
    <i r="1">
      <x v="15"/>
      <x v="13"/>
    </i>
    <i r="2">
      <x v="67"/>
    </i>
    <i r="2">
      <x v="72"/>
    </i>
    <i r="1">
      <x v="18"/>
      <x v="98"/>
    </i>
    <i r="2">
      <x v="118"/>
    </i>
    <i t="blank">
      <x v="21"/>
    </i>
    <i>
      <x v="22"/>
    </i>
    <i r="1">
      <x/>
      <x v="104"/>
    </i>
    <i r="1">
      <x v="1"/>
      <x v="96"/>
    </i>
    <i r="1">
      <x v="2"/>
      <x v="112"/>
    </i>
    <i r="1">
      <x v="3"/>
      <x v="82"/>
    </i>
    <i r="1">
      <x v="4"/>
      <x v="114"/>
    </i>
    <i r="1">
      <x v="5"/>
      <x v="98"/>
    </i>
    <i r="1">
      <x v="6"/>
      <x v="103"/>
    </i>
    <i r="1">
      <x v="7"/>
      <x v="68"/>
    </i>
    <i r="1">
      <x v="8"/>
      <x v="100"/>
    </i>
    <i r="1">
      <x v="9"/>
      <x v="11"/>
    </i>
    <i r="1">
      <x v="10"/>
      <x/>
    </i>
    <i r="2">
      <x v="81"/>
    </i>
    <i r="1">
      <x v="12"/>
      <x v="13"/>
    </i>
    <i r="1">
      <x v="13"/>
      <x v="99"/>
    </i>
    <i r="2">
      <x v="111"/>
    </i>
    <i r="1">
      <x v="15"/>
      <x v="1"/>
    </i>
    <i r="2">
      <x v="78"/>
    </i>
    <i r="1">
      <x v="17"/>
      <x v="36"/>
    </i>
    <i r="1">
      <x v="18"/>
      <x v="2"/>
    </i>
    <i r="1">
      <x v="19"/>
      <x v="105"/>
    </i>
    <i t="blank">
      <x v="22"/>
    </i>
    <i>
      <x v="23"/>
    </i>
    <i r="1">
      <x/>
      <x v="104"/>
    </i>
    <i r="1">
      <x v="1"/>
      <x v="112"/>
    </i>
    <i r="1">
      <x v="2"/>
      <x v="100"/>
    </i>
    <i r="1">
      <x v="3"/>
      <x v="103"/>
    </i>
    <i r="1">
      <x v="4"/>
      <x v="82"/>
    </i>
    <i r="1">
      <x v="5"/>
      <x v="114"/>
    </i>
    <i r="1">
      <x v="6"/>
      <x v="98"/>
    </i>
    <i r="1">
      <x v="7"/>
      <x v="68"/>
    </i>
    <i r="2">
      <x v="96"/>
    </i>
    <i r="1">
      <x v="9"/>
      <x v="11"/>
    </i>
    <i r="1">
      <x v="10"/>
      <x v="13"/>
    </i>
    <i r="1">
      <x v="11"/>
      <x v="1"/>
    </i>
    <i r="1">
      <x v="12"/>
      <x/>
    </i>
    <i r="1">
      <x v="13"/>
      <x v="111"/>
    </i>
    <i r="1">
      <x v="14"/>
      <x v="92"/>
    </i>
    <i r="1">
      <x v="15"/>
      <x v="118"/>
    </i>
    <i r="1">
      <x v="16"/>
      <x v="78"/>
    </i>
    <i r="1">
      <x v="17"/>
      <x v="72"/>
    </i>
    <i r="1">
      <x v="18"/>
      <x v="102"/>
    </i>
    <i r="1">
      <x v="19"/>
      <x v="2"/>
    </i>
    <i t="blank">
      <x v="23"/>
    </i>
    <i>
      <x v="24"/>
    </i>
    <i r="1">
      <x/>
      <x v="104"/>
    </i>
    <i r="1">
      <x v="1"/>
      <x v="112"/>
    </i>
    <i r="1">
      <x v="2"/>
      <x v="103"/>
    </i>
    <i r="1">
      <x v="3"/>
      <x v="68"/>
    </i>
    <i r="1">
      <x v="4"/>
      <x v="114"/>
    </i>
    <i r="1">
      <x v="5"/>
      <x v="98"/>
    </i>
    <i r="1">
      <x v="6"/>
      <x v="100"/>
    </i>
    <i r="1">
      <x v="7"/>
      <x v="78"/>
    </i>
    <i r="1">
      <x v="8"/>
      <x v="96"/>
    </i>
    <i r="1">
      <x v="9"/>
      <x v="82"/>
    </i>
    <i r="1">
      <x v="10"/>
      <x v="72"/>
    </i>
    <i r="1">
      <x v="11"/>
      <x v="1"/>
    </i>
    <i r="1">
      <x v="12"/>
      <x v="102"/>
    </i>
    <i r="1">
      <x v="13"/>
      <x v="11"/>
    </i>
    <i r="1">
      <x v="14"/>
      <x/>
    </i>
    <i r="2">
      <x v="2"/>
    </i>
    <i r="1">
      <x v="16"/>
      <x v="66"/>
    </i>
    <i r="1">
      <x v="17"/>
      <x v="67"/>
    </i>
    <i r="1">
      <x v="18"/>
      <x v="13"/>
    </i>
    <i r="1">
      <x v="19"/>
      <x v="40"/>
    </i>
    <i t="blank">
      <x v="24"/>
    </i>
    <i>
      <x v="25"/>
    </i>
    <i r="1">
      <x/>
      <x v="112"/>
    </i>
    <i r="1">
      <x v="1"/>
      <x v="104"/>
    </i>
    <i r="1">
      <x v="2"/>
      <x v="82"/>
    </i>
    <i r="1">
      <x v="3"/>
      <x v="114"/>
    </i>
    <i r="1">
      <x v="4"/>
      <x v="100"/>
    </i>
    <i r="1">
      <x v="5"/>
      <x v="103"/>
    </i>
    <i r="1">
      <x v="6"/>
      <x v="68"/>
    </i>
    <i r="1">
      <x v="7"/>
      <x v="72"/>
    </i>
    <i r="1">
      <x v="8"/>
      <x v="96"/>
    </i>
    <i r="1">
      <x v="9"/>
      <x v="78"/>
    </i>
    <i r="1">
      <x v="10"/>
      <x v="81"/>
    </i>
    <i r="2">
      <x v="98"/>
    </i>
    <i r="1">
      <x v="12"/>
      <x v="67"/>
    </i>
    <i r="1">
      <x v="13"/>
      <x v="11"/>
    </i>
    <i r="2">
      <x v="61"/>
    </i>
    <i r="2">
      <x v="111"/>
    </i>
    <i r="1">
      <x v="16"/>
      <x v="66"/>
    </i>
    <i r="2">
      <x v="102"/>
    </i>
    <i r="1">
      <x v="18"/>
      <x/>
    </i>
    <i r="2">
      <x v="1"/>
    </i>
    <i r="2">
      <x v="13"/>
    </i>
    <i r="2">
      <x v="36"/>
    </i>
    <i r="2">
      <x v="83"/>
    </i>
    <i t="blank">
      <x v="25"/>
    </i>
    <i>
      <x v="26"/>
    </i>
    <i r="1">
      <x/>
      <x v="104"/>
    </i>
    <i r="1">
      <x v="1"/>
      <x v="82"/>
    </i>
    <i r="1">
      <x v="2"/>
      <x v="112"/>
    </i>
    <i r="1">
      <x v="3"/>
      <x v="2"/>
    </i>
    <i r="2">
      <x v="114"/>
    </i>
    <i r="1">
      <x v="5"/>
      <x v="78"/>
    </i>
    <i r="1">
      <x v="6"/>
      <x v="98"/>
    </i>
    <i r="1">
      <x v="7"/>
      <x v="68"/>
    </i>
    <i r="1">
      <x v="8"/>
      <x v="40"/>
    </i>
    <i r="2">
      <x v="103"/>
    </i>
    <i r="1">
      <x v="10"/>
      <x v="11"/>
    </i>
    <i r="2">
      <x v="37"/>
    </i>
    <i r="1">
      <x v="12"/>
      <x v="118"/>
    </i>
    <i r="1">
      <x v="13"/>
      <x v="1"/>
    </i>
    <i r="2">
      <x v="102"/>
    </i>
    <i r="1">
      <x v="15"/>
      <x v="67"/>
    </i>
    <i r="1">
      <x v="16"/>
      <x v="36"/>
    </i>
    <i r="1">
      <x v="17"/>
      <x v="81"/>
    </i>
    <i r="1">
      <x v="18"/>
      <x v="92"/>
    </i>
    <i r="2">
      <x v="100"/>
    </i>
    <i t="blank">
      <x v="26"/>
    </i>
    <i>
      <x v="27"/>
    </i>
    <i r="1">
      <x/>
      <x v="82"/>
    </i>
    <i r="1">
      <x v="1"/>
      <x v="104"/>
    </i>
    <i r="1">
      <x v="2"/>
      <x v="112"/>
    </i>
    <i r="1">
      <x v="3"/>
      <x v="103"/>
    </i>
    <i r="1">
      <x v="4"/>
      <x v="98"/>
    </i>
    <i r="1">
      <x v="5"/>
      <x v="114"/>
    </i>
    <i r="1">
      <x v="6"/>
      <x v="96"/>
    </i>
    <i r="1">
      <x v="7"/>
      <x v="99"/>
    </i>
    <i r="1">
      <x v="8"/>
      <x v="81"/>
    </i>
    <i r="1">
      <x v="9"/>
      <x v="68"/>
    </i>
    <i r="1">
      <x v="10"/>
      <x v="67"/>
    </i>
    <i r="1">
      <x v="11"/>
      <x v="100"/>
    </i>
    <i r="1">
      <x v="12"/>
      <x v="78"/>
    </i>
    <i r="1">
      <x v="13"/>
      <x v="37"/>
    </i>
    <i r="1">
      <x v="14"/>
      <x v="40"/>
    </i>
    <i r="1">
      <x v="15"/>
      <x v="72"/>
    </i>
    <i r="1">
      <x v="16"/>
      <x v="55"/>
    </i>
    <i r="1">
      <x v="17"/>
      <x v="10"/>
    </i>
    <i r="1">
      <x v="18"/>
      <x v="1"/>
    </i>
    <i r="1">
      <x v="19"/>
      <x v="11"/>
    </i>
    <i r="2">
      <x v="80"/>
    </i>
    <i r="2">
      <x v="101"/>
    </i>
    <i t="blank">
      <x v="27"/>
    </i>
    <i>
      <x v="28"/>
    </i>
    <i r="1">
      <x/>
      <x v="104"/>
    </i>
    <i r="1">
      <x v="1"/>
      <x v="82"/>
    </i>
    <i r="1">
      <x v="2"/>
      <x v="103"/>
    </i>
    <i r="1">
      <x v="3"/>
      <x v="112"/>
    </i>
    <i r="1">
      <x v="4"/>
      <x v="96"/>
    </i>
    <i r="1">
      <x v="5"/>
      <x v="100"/>
    </i>
    <i r="1">
      <x v="6"/>
      <x v="114"/>
    </i>
    <i r="1">
      <x v="7"/>
      <x v="98"/>
    </i>
    <i r="1">
      <x v="8"/>
      <x v="68"/>
    </i>
    <i r="1">
      <x v="9"/>
      <x v="2"/>
    </i>
    <i r="1">
      <x v="10"/>
      <x v="11"/>
    </i>
    <i r="1">
      <x v="11"/>
      <x v="1"/>
    </i>
    <i r="1">
      <x v="12"/>
      <x/>
    </i>
    <i r="1">
      <x v="13"/>
      <x v="13"/>
    </i>
    <i r="1">
      <x v="14"/>
      <x v="81"/>
    </i>
    <i r="1">
      <x v="15"/>
      <x v="67"/>
    </i>
    <i r="1">
      <x v="16"/>
      <x v="72"/>
    </i>
    <i r="2">
      <x v="78"/>
    </i>
    <i r="2">
      <x v="102"/>
    </i>
    <i r="1">
      <x v="19"/>
      <x v="111"/>
    </i>
    <i r="2">
      <x v="118"/>
    </i>
    <i t="blank">
      <x v="28"/>
    </i>
    <i>
      <x v="29"/>
    </i>
    <i r="1">
      <x/>
      <x v="82"/>
    </i>
    <i r="1">
      <x v="1"/>
      <x v="104"/>
    </i>
    <i r="1">
      <x v="2"/>
      <x v="112"/>
    </i>
    <i r="1">
      <x v="3"/>
      <x v="98"/>
    </i>
    <i r="1">
      <x v="4"/>
      <x v="114"/>
    </i>
    <i r="1">
      <x v="5"/>
      <x v="68"/>
    </i>
    <i r="1">
      <x v="6"/>
      <x v="103"/>
    </i>
    <i r="1">
      <x v="7"/>
      <x v="96"/>
    </i>
    <i r="1">
      <x v="8"/>
      <x v="100"/>
    </i>
    <i r="1">
      <x v="9"/>
      <x v="81"/>
    </i>
    <i r="1">
      <x v="10"/>
      <x v="2"/>
    </i>
    <i r="1">
      <x v="11"/>
      <x v="105"/>
    </i>
    <i r="1">
      <x v="12"/>
      <x v="111"/>
    </i>
    <i r="1">
      <x v="13"/>
      <x v="11"/>
    </i>
    <i r="2">
      <x v="67"/>
    </i>
    <i r="2">
      <x v="78"/>
    </i>
    <i r="1">
      <x v="16"/>
      <x v="40"/>
    </i>
    <i r="1">
      <x v="17"/>
      <x v="37"/>
    </i>
    <i r="1">
      <x v="18"/>
      <x v="80"/>
    </i>
    <i r="1">
      <x v="19"/>
      <x v="118"/>
    </i>
    <i t="blank">
      <x v="29"/>
    </i>
    <i>
      <x v="30"/>
    </i>
    <i r="1">
      <x/>
      <x v="104"/>
    </i>
    <i r="1">
      <x v="1"/>
      <x v="2"/>
    </i>
    <i r="1">
      <x v="2"/>
      <x v="112"/>
    </i>
    <i r="1">
      <x v="3"/>
      <x v="103"/>
    </i>
    <i r="1">
      <x v="4"/>
      <x v="114"/>
    </i>
    <i r="1">
      <x v="5"/>
      <x v="68"/>
    </i>
    <i r="1">
      <x v="6"/>
      <x v="100"/>
    </i>
    <i r="1">
      <x v="7"/>
      <x v="82"/>
    </i>
    <i r="1">
      <x v="8"/>
      <x v="78"/>
    </i>
    <i r="1">
      <x v="9"/>
      <x/>
    </i>
    <i r="2">
      <x v="11"/>
    </i>
    <i r="1">
      <x v="11"/>
      <x v="67"/>
    </i>
    <i r="1">
      <x v="12"/>
      <x v="102"/>
    </i>
    <i r="1">
      <x v="13"/>
      <x v="1"/>
    </i>
    <i r="2">
      <x v="96"/>
    </i>
    <i r="1">
      <x v="15"/>
      <x v="92"/>
    </i>
    <i r="1">
      <x v="16"/>
      <x v="66"/>
    </i>
    <i r="1">
      <x v="17"/>
      <x v="98"/>
    </i>
    <i r="1">
      <x v="18"/>
      <x v="13"/>
    </i>
    <i r="1">
      <x v="19"/>
      <x v="72"/>
    </i>
    <i r="2">
      <x v="111"/>
    </i>
    <i t="blank">
      <x v="30"/>
    </i>
    <i>
      <x v="31"/>
    </i>
    <i r="1">
      <x/>
      <x v="82"/>
    </i>
    <i r="2">
      <x v="104"/>
    </i>
    <i r="1">
      <x v="2"/>
      <x v="23"/>
    </i>
    <i r="1">
      <x v="3"/>
      <x v="24"/>
    </i>
    <i r="1">
      <x v="4"/>
      <x v="103"/>
    </i>
    <i r="1">
      <x v="5"/>
      <x v="100"/>
    </i>
    <i r="1">
      <x v="6"/>
      <x v="96"/>
    </i>
    <i r="1">
      <x v="7"/>
      <x v="112"/>
    </i>
    <i r="1">
      <x v="8"/>
      <x v="98"/>
    </i>
    <i r="1">
      <x v="9"/>
      <x v="68"/>
    </i>
    <i r="1">
      <x v="10"/>
      <x v="78"/>
    </i>
    <i r="2">
      <x v="114"/>
    </i>
    <i r="1">
      <x v="12"/>
      <x v="72"/>
    </i>
    <i r="1">
      <x v="13"/>
      <x/>
    </i>
    <i r="1">
      <x v="14"/>
      <x v="81"/>
    </i>
    <i r="1">
      <x v="15"/>
      <x v="69"/>
    </i>
    <i r="1">
      <x v="16"/>
      <x v="11"/>
    </i>
    <i r="1">
      <x v="17"/>
      <x v="1"/>
    </i>
    <i r="2">
      <x v="22"/>
    </i>
    <i r="2">
      <x v="66"/>
    </i>
    <i t="blank">
      <x v="31"/>
    </i>
    <i>
      <x v="32"/>
    </i>
    <i r="1">
      <x/>
      <x v="100"/>
    </i>
    <i r="1">
      <x v="1"/>
      <x v="104"/>
    </i>
    <i r="1">
      <x v="2"/>
      <x v="112"/>
    </i>
    <i r="1">
      <x v="3"/>
      <x v="103"/>
    </i>
    <i r="1">
      <x v="4"/>
      <x v="114"/>
    </i>
    <i r="1">
      <x v="5"/>
      <x v="82"/>
    </i>
    <i r="1">
      <x v="6"/>
      <x v="78"/>
    </i>
    <i r="1">
      <x v="7"/>
      <x v="96"/>
    </i>
    <i r="1">
      <x v="8"/>
      <x v="11"/>
    </i>
    <i r="1">
      <x v="9"/>
      <x/>
    </i>
    <i r="1">
      <x v="10"/>
      <x v="98"/>
    </i>
    <i r="1">
      <x v="11"/>
      <x v="68"/>
    </i>
    <i r="1">
      <x v="12"/>
      <x v="37"/>
    </i>
    <i r="2">
      <x v="67"/>
    </i>
    <i r="2">
      <x v="81"/>
    </i>
    <i r="1">
      <x v="15"/>
      <x v="1"/>
    </i>
    <i r="1">
      <x v="16"/>
      <x v="13"/>
    </i>
    <i r="2">
      <x v="92"/>
    </i>
    <i r="2">
      <x v="111"/>
    </i>
    <i r="1">
      <x v="19"/>
      <x v="59"/>
    </i>
    <i r="2">
      <x v="66"/>
    </i>
    <i t="blank">
      <x v="32"/>
    </i>
    <i>
      <x v="33"/>
    </i>
    <i r="1">
      <x/>
      <x v="33"/>
    </i>
    <i r="1">
      <x v="1"/>
      <x v="104"/>
    </i>
    <i r="1">
      <x v="2"/>
      <x v="112"/>
    </i>
    <i r="1">
      <x v="3"/>
      <x v="96"/>
    </i>
    <i r="2">
      <x v="100"/>
    </i>
    <i r="1">
      <x v="5"/>
      <x v="103"/>
    </i>
    <i r="1">
      <x v="6"/>
      <x v="78"/>
    </i>
    <i r="1">
      <x v="7"/>
      <x v="82"/>
    </i>
    <i r="1">
      <x v="8"/>
      <x v="71"/>
    </i>
    <i r="1">
      <x v="9"/>
      <x/>
    </i>
    <i r="1">
      <x v="10"/>
      <x v="114"/>
    </i>
    <i r="1">
      <x v="11"/>
      <x v="11"/>
    </i>
    <i r="2">
      <x v="67"/>
    </i>
    <i r="1">
      <x v="13"/>
      <x v="61"/>
    </i>
    <i r="2">
      <x v="102"/>
    </i>
    <i r="1">
      <x v="15"/>
      <x v="1"/>
    </i>
    <i r="2">
      <x v="13"/>
    </i>
    <i r="1">
      <x v="17"/>
      <x v="81"/>
    </i>
    <i r="1">
      <x v="18"/>
      <x v="105"/>
    </i>
    <i r="1">
      <x v="19"/>
      <x v="66"/>
    </i>
    <i r="2">
      <x v="72"/>
    </i>
    <i t="blank">
      <x v="33"/>
    </i>
    <i>
      <x v="34"/>
    </i>
    <i r="1">
      <x/>
      <x v="104"/>
    </i>
    <i r="1">
      <x v="1"/>
      <x v="100"/>
    </i>
    <i r="1">
      <x v="2"/>
      <x v="114"/>
    </i>
    <i r="1">
      <x v="3"/>
      <x v="112"/>
    </i>
    <i r="1">
      <x v="4"/>
      <x v="103"/>
    </i>
    <i r="1">
      <x v="5"/>
      <x v="96"/>
    </i>
    <i r="1">
      <x v="6"/>
      <x v="111"/>
    </i>
    <i r="1">
      <x v="7"/>
      <x v="78"/>
    </i>
    <i r="2">
      <x v="98"/>
    </i>
    <i r="1">
      <x v="9"/>
      <x v="82"/>
    </i>
    <i r="1">
      <x v="10"/>
      <x v="21"/>
    </i>
    <i r="2">
      <x v="68"/>
    </i>
    <i r="1">
      <x v="12"/>
      <x v="92"/>
    </i>
    <i r="1">
      <x v="13"/>
      <x/>
    </i>
    <i r="1">
      <x v="14"/>
      <x v="2"/>
    </i>
    <i r="1">
      <x v="15"/>
      <x v="11"/>
    </i>
    <i r="1">
      <x v="16"/>
      <x v="1"/>
    </i>
    <i r="2">
      <x v="67"/>
    </i>
    <i r="2">
      <x v="72"/>
    </i>
    <i r="1">
      <x v="19"/>
      <x v="81"/>
    </i>
    <i t="blank">
      <x v="34"/>
    </i>
    <i>
      <x v="35"/>
    </i>
    <i r="1">
      <x/>
      <x v="104"/>
    </i>
    <i r="1">
      <x v="1"/>
      <x v="81"/>
    </i>
    <i r="1">
      <x v="2"/>
      <x v="82"/>
    </i>
    <i r="1">
      <x v="3"/>
      <x v="112"/>
    </i>
    <i r="1">
      <x v="4"/>
      <x v="68"/>
    </i>
    <i r="1">
      <x v="5"/>
      <x v="100"/>
    </i>
    <i r="2">
      <x v="103"/>
    </i>
    <i r="1">
      <x v="7"/>
      <x/>
    </i>
    <i r="1">
      <x v="8"/>
      <x v="36"/>
    </i>
    <i r="1">
      <x v="9"/>
      <x v="114"/>
    </i>
    <i r="1">
      <x v="10"/>
      <x v="38"/>
    </i>
    <i r="1">
      <x v="11"/>
      <x v="13"/>
    </i>
    <i r="2">
      <x v="118"/>
    </i>
    <i r="1">
      <x v="13"/>
      <x v="78"/>
    </i>
    <i r="1">
      <x v="14"/>
      <x v="96"/>
    </i>
    <i r="2">
      <x v="98"/>
    </i>
    <i r="1">
      <x v="16"/>
      <x v="45"/>
    </i>
    <i r="1">
      <x v="17"/>
      <x v="11"/>
    </i>
    <i r="1">
      <x v="18"/>
      <x v="37"/>
    </i>
    <i r="2">
      <x v="55"/>
    </i>
    <i t="blank">
      <x v="35"/>
    </i>
    <i>
      <x v="36"/>
    </i>
    <i r="1">
      <x/>
      <x v="82"/>
    </i>
    <i r="1">
      <x v="1"/>
      <x v="104"/>
    </i>
    <i r="1">
      <x v="2"/>
      <x v="100"/>
    </i>
    <i r="1">
      <x v="3"/>
      <x v="96"/>
    </i>
    <i r="1">
      <x v="4"/>
      <x v="114"/>
    </i>
    <i r="1">
      <x v="5"/>
      <x v="112"/>
    </i>
    <i r="1">
      <x v="6"/>
      <x v="103"/>
    </i>
    <i r="1">
      <x v="7"/>
      <x/>
    </i>
    <i r="1">
      <x v="8"/>
      <x v="59"/>
    </i>
    <i r="1">
      <x v="9"/>
      <x v="78"/>
    </i>
    <i r="1">
      <x v="10"/>
      <x v="68"/>
    </i>
    <i r="1">
      <x v="11"/>
      <x v="118"/>
    </i>
    <i r="1">
      <x v="12"/>
      <x v="98"/>
    </i>
    <i r="1">
      <x v="13"/>
      <x v="11"/>
    </i>
    <i r="2">
      <x v="69"/>
    </i>
    <i r="1">
      <x v="15"/>
      <x v="22"/>
    </i>
    <i r="2">
      <x v="102"/>
    </i>
    <i r="1">
      <x v="17"/>
      <x v="80"/>
    </i>
    <i r="1">
      <x v="18"/>
      <x v="1"/>
    </i>
    <i r="2">
      <x v="2"/>
    </i>
    <i t="blank">
      <x v="36"/>
    </i>
    <i>
      <x v="37"/>
    </i>
    <i r="1">
      <x/>
      <x v="104"/>
    </i>
    <i r="1">
      <x v="1"/>
      <x v="103"/>
    </i>
    <i r="1">
      <x v="2"/>
      <x v="2"/>
    </i>
    <i r="1">
      <x v="3"/>
      <x/>
    </i>
    <i r="1">
      <x v="4"/>
      <x v="114"/>
    </i>
    <i r="1">
      <x v="5"/>
      <x v="1"/>
    </i>
    <i r="1">
      <x v="6"/>
      <x v="68"/>
    </i>
    <i r="2">
      <x v="100"/>
    </i>
    <i r="1">
      <x v="8"/>
      <x v="96"/>
    </i>
    <i r="2">
      <x v="112"/>
    </i>
    <i r="1">
      <x v="10"/>
      <x v="11"/>
    </i>
    <i r="1">
      <x v="11"/>
      <x v="78"/>
    </i>
    <i r="2">
      <x v="92"/>
    </i>
    <i r="1">
      <x v="13"/>
      <x v="67"/>
    </i>
    <i r="2">
      <x v="72"/>
    </i>
    <i r="1">
      <x v="15"/>
      <x v="111"/>
    </i>
    <i r="1">
      <x v="16"/>
      <x v="66"/>
    </i>
    <i r="1">
      <x v="17"/>
      <x v="13"/>
    </i>
    <i r="2">
      <x v="102"/>
    </i>
    <i r="1">
      <x v="19"/>
      <x v="4"/>
    </i>
    <i r="2">
      <x v="74"/>
    </i>
    <i t="blank">
      <x v="37"/>
    </i>
    <i>
      <x v="38"/>
    </i>
    <i r="1">
      <x/>
      <x v="104"/>
    </i>
    <i r="1">
      <x v="1"/>
      <x v="82"/>
    </i>
    <i r="1">
      <x v="2"/>
      <x v="103"/>
    </i>
    <i r="1">
      <x v="3"/>
      <x v="100"/>
    </i>
    <i r="1">
      <x v="4"/>
      <x v="112"/>
    </i>
    <i r="1">
      <x v="5"/>
      <x v="98"/>
    </i>
    <i r="2">
      <x v="114"/>
    </i>
    <i r="1">
      <x v="7"/>
      <x v="13"/>
    </i>
    <i r="1">
      <x v="8"/>
      <x v="96"/>
    </i>
    <i r="1">
      <x v="9"/>
      <x v="68"/>
    </i>
    <i r="1">
      <x v="10"/>
      <x/>
    </i>
    <i r="2">
      <x v="1"/>
    </i>
    <i r="2">
      <x v="11"/>
    </i>
    <i r="2">
      <x v="99"/>
    </i>
    <i r="1">
      <x v="14"/>
      <x v="81"/>
    </i>
    <i r="2">
      <x v="101"/>
    </i>
    <i r="1">
      <x v="16"/>
      <x v="111"/>
    </i>
    <i r="1">
      <x v="17"/>
      <x v="2"/>
    </i>
    <i r="1">
      <x v="18"/>
      <x v="72"/>
    </i>
    <i r="1">
      <x v="19"/>
      <x v="102"/>
    </i>
    <i t="blank">
      <x v="38"/>
    </i>
    <i>
      <x v="39"/>
    </i>
    <i r="1">
      <x/>
      <x v="82"/>
    </i>
    <i r="1">
      <x v="1"/>
      <x v="104"/>
    </i>
    <i r="1">
      <x v="2"/>
      <x v="112"/>
    </i>
    <i r="1">
      <x v="3"/>
      <x v="103"/>
    </i>
    <i r="1">
      <x v="4"/>
      <x v="114"/>
    </i>
    <i r="1">
      <x v="5"/>
      <x v="1"/>
    </i>
    <i r="2">
      <x v="68"/>
    </i>
    <i r="1">
      <x v="7"/>
      <x v="98"/>
    </i>
    <i r="1">
      <x v="8"/>
      <x v="2"/>
    </i>
    <i r="1">
      <x v="9"/>
      <x v="38"/>
    </i>
    <i r="1">
      <x v="10"/>
      <x v="96"/>
    </i>
    <i r="1">
      <x v="11"/>
      <x v="13"/>
    </i>
    <i r="1">
      <x v="12"/>
      <x v="36"/>
    </i>
    <i r="1">
      <x v="13"/>
      <x/>
    </i>
    <i r="2">
      <x v="11"/>
    </i>
    <i r="2">
      <x v="37"/>
    </i>
    <i r="2">
      <x v="99"/>
    </i>
    <i r="2">
      <x v="111"/>
    </i>
    <i r="1">
      <x v="18"/>
      <x v="72"/>
    </i>
    <i r="2">
      <x v="78"/>
    </i>
    <i r="2">
      <x v="81"/>
    </i>
    <i t="blank">
      <x v="39"/>
    </i>
    <i>
      <x v="40"/>
    </i>
    <i r="1">
      <x/>
      <x v="82"/>
    </i>
    <i r="1">
      <x v="1"/>
      <x v="104"/>
    </i>
    <i r="1">
      <x v="2"/>
      <x v="112"/>
    </i>
    <i r="1">
      <x v="3"/>
      <x v="114"/>
    </i>
    <i r="1">
      <x v="4"/>
      <x v="103"/>
    </i>
    <i r="1">
      <x v="5"/>
      <x v="13"/>
    </i>
    <i r="2">
      <x v="100"/>
    </i>
    <i r="1">
      <x v="7"/>
      <x v="96"/>
    </i>
    <i r="1">
      <x v="8"/>
      <x v="72"/>
    </i>
    <i r="1">
      <x v="9"/>
      <x/>
    </i>
    <i r="1">
      <x v="10"/>
      <x v="14"/>
    </i>
    <i r="2">
      <x v="98"/>
    </i>
    <i r="1">
      <x v="12"/>
      <x v="99"/>
    </i>
    <i r="1">
      <x v="13"/>
      <x v="102"/>
    </i>
    <i r="1">
      <x v="14"/>
      <x v="11"/>
    </i>
    <i r="2">
      <x v="69"/>
    </i>
    <i r="1">
      <x v="16"/>
      <x v="68"/>
    </i>
    <i r="1">
      <x v="17"/>
      <x v="1"/>
    </i>
    <i r="2">
      <x v="5"/>
    </i>
    <i r="2">
      <x v="8"/>
    </i>
    <i r="2">
      <x v="106"/>
    </i>
    <i t="blank">
      <x v="40"/>
    </i>
    <i>
      <x v="41"/>
    </i>
    <i r="1">
      <x/>
      <x v="104"/>
    </i>
    <i r="1">
      <x v="1"/>
      <x v="82"/>
    </i>
    <i r="1">
      <x v="2"/>
      <x v="103"/>
    </i>
    <i r="1">
      <x v="3"/>
      <x v="112"/>
    </i>
    <i r="1">
      <x v="4"/>
      <x v="78"/>
    </i>
    <i r="1">
      <x v="5"/>
      <x v="98"/>
    </i>
    <i r="1">
      <x v="6"/>
      <x v="61"/>
    </i>
    <i r="1">
      <x v="7"/>
      <x v="100"/>
    </i>
    <i r="2">
      <x v="114"/>
    </i>
    <i r="1">
      <x v="9"/>
      <x v="68"/>
    </i>
    <i r="2">
      <x v="81"/>
    </i>
    <i r="1">
      <x v="11"/>
      <x v="72"/>
    </i>
    <i r="1">
      <x v="12"/>
      <x v="96"/>
    </i>
    <i r="1">
      <x v="13"/>
      <x v="99"/>
    </i>
    <i r="1">
      <x v="14"/>
      <x v="1"/>
    </i>
    <i r="1">
      <x v="15"/>
      <x v="3"/>
    </i>
    <i r="2">
      <x v="40"/>
    </i>
    <i r="1">
      <x v="17"/>
      <x v="67"/>
    </i>
    <i r="1">
      <x v="18"/>
      <x v="11"/>
    </i>
    <i r="1">
      <x v="19"/>
      <x/>
    </i>
    <i r="2">
      <x v="13"/>
    </i>
    <i r="2">
      <x v="37"/>
    </i>
    <i r="2">
      <x v="66"/>
    </i>
    <i r="2">
      <x v="79"/>
    </i>
    <i r="2">
      <x v="111"/>
    </i>
    <i t="blank">
      <x v="41"/>
    </i>
    <i>
      <x v="42"/>
    </i>
    <i r="1">
      <x/>
      <x v="104"/>
    </i>
    <i r="1">
      <x v="1"/>
      <x v="82"/>
    </i>
    <i r="1">
      <x v="2"/>
      <x v="112"/>
    </i>
    <i r="1">
      <x v="3"/>
      <x v="114"/>
    </i>
    <i r="1">
      <x v="4"/>
      <x v="11"/>
    </i>
    <i r="2">
      <x v="100"/>
    </i>
    <i r="2">
      <x v="103"/>
    </i>
    <i r="1">
      <x v="7"/>
      <x v="96"/>
    </i>
    <i r="1">
      <x v="8"/>
      <x v="68"/>
    </i>
    <i r="1">
      <x v="9"/>
      <x/>
    </i>
    <i r="2">
      <x v="81"/>
    </i>
    <i r="1">
      <x v="11"/>
      <x v="111"/>
    </i>
    <i r="1">
      <x v="12"/>
      <x v="92"/>
    </i>
    <i r="1">
      <x v="13"/>
      <x v="1"/>
    </i>
    <i r="1">
      <x v="14"/>
      <x v="3"/>
    </i>
    <i r="1">
      <x v="15"/>
      <x v="72"/>
    </i>
    <i r="1">
      <x v="16"/>
      <x v="10"/>
    </i>
    <i r="1">
      <x v="17"/>
      <x v="13"/>
    </i>
    <i r="2">
      <x v="80"/>
    </i>
    <i r="1">
      <x v="19"/>
      <x v="2"/>
    </i>
    <i r="2">
      <x v="98"/>
    </i>
    <i t="blank">
      <x v="42"/>
    </i>
    <i>
      <x v="43"/>
    </i>
    <i r="1">
      <x/>
      <x v="104"/>
    </i>
    <i r="1">
      <x v="1"/>
      <x v="32"/>
    </i>
    <i r="1">
      <x v="2"/>
      <x v="82"/>
    </i>
    <i r="1">
      <x v="3"/>
      <x v="112"/>
    </i>
    <i r="1">
      <x v="4"/>
      <x v="68"/>
    </i>
    <i r="1">
      <x v="5"/>
      <x v="103"/>
    </i>
    <i r="1">
      <x v="6"/>
      <x v="114"/>
    </i>
    <i r="1">
      <x v="7"/>
      <x v="2"/>
    </i>
    <i r="1">
      <x v="8"/>
      <x v="96"/>
    </i>
    <i r="1">
      <x v="9"/>
      <x v="11"/>
    </i>
    <i r="1">
      <x v="10"/>
      <x v="38"/>
    </i>
    <i r="2">
      <x v="81"/>
    </i>
    <i r="1">
      <x v="12"/>
      <x v="40"/>
    </i>
    <i r="2">
      <x v="98"/>
    </i>
    <i r="2">
      <x v="102"/>
    </i>
    <i r="1">
      <x v="15"/>
      <x/>
    </i>
    <i r="2">
      <x v="13"/>
    </i>
    <i r="2">
      <x v="72"/>
    </i>
    <i r="2">
      <x v="78"/>
    </i>
    <i r="2">
      <x v="100"/>
    </i>
    <i t="blank">
      <x v="43"/>
    </i>
    <i>
      <x v="44"/>
    </i>
    <i r="1">
      <x/>
      <x v="82"/>
    </i>
    <i r="1">
      <x v="1"/>
      <x v="112"/>
    </i>
    <i r="1">
      <x v="2"/>
      <x v="104"/>
    </i>
    <i r="1">
      <x v="3"/>
      <x v="100"/>
    </i>
    <i r="1">
      <x v="4"/>
      <x v="98"/>
    </i>
    <i r="1">
      <x v="5"/>
      <x v="114"/>
    </i>
    <i r="1">
      <x v="6"/>
      <x v="103"/>
    </i>
    <i r="1">
      <x v="7"/>
      <x v="96"/>
    </i>
    <i r="1">
      <x v="8"/>
      <x v="81"/>
    </i>
    <i r="1">
      <x v="9"/>
      <x v="67"/>
    </i>
    <i r="2">
      <x v="78"/>
    </i>
    <i r="1">
      <x v="11"/>
      <x v="111"/>
    </i>
    <i r="1">
      <x v="12"/>
      <x/>
    </i>
    <i r="1">
      <x v="13"/>
      <x v="68"/>
    </i>
    <i r="2">
      <x v="84"/>
    </i>
    <i r="1">
      <x v="15"/>
      <x v="102"/>
    </i>
    <i r="1">
      <x v="16"/>
      <x v="72"/>
    </i>
    <i r="1">
      <x v="17"/>
      <x v="80"/>
    </i>
    <i r="2">
      <x v="83"/>
    </i>
    <i r="2">
      <x v="99"/>
    </i>
    <i t="blank">
      <x v="44"/>
    </i>
    <i>
      <x v="45"/>
    </i>
    <i r="1">
      <x/>
      <x v="82"/>
    </i>
    <i r="1">
      <x v="1"/>
      <x v="104"/>
    </i>
    <i r="1">
      <x v="2"/>
      <x v="112"/>
    </i>
    <i r="1">
      <x v="3"/>
      <x v="68"/>
    </i>
    <i r="2">
      <x v="114"/>
    </i>
    <i r="1">
      <x v="5"/>
      <x v="100"/>
    </i>
    <i r="1">
      <x v="6"/>
      <x v="103"/>
    </i>
    <i r="1">
      <x v="7"/>
      <x v="11"/>
    </i>
    <i r="1">
      <x v="8"/>
      <x v="72"/>
    </i>
    <i r="2">
      <x v="81"/>
    </i>
    <i r="1">
      <x v="10"/>
      <x v="1"/>
    </i>
    <i r="1">
      <x v="11"/>
      <x v="102"/>
    </i>
    <i r="1">
      <x v="12"/>
      <x/>
    </i>
    <i r="2">
      <x v="13"/>
    </i>
    <i r="2">
      <x v="78"/>
    </i>
    <i r="2">
      <x v="96"/>
    </i>
    <i r="1">
      <x v="16"/>
      <x v="38"/>
    </i>
    <i r="1">
      <x v="17"/>
      <x v="40"/>
    </i>
    <i r="1">
      <x v="18"/>
      <x v="84"/>
    </i>
    <i r="1">
      <x v="19"/>
      <x v="9"/>
    </i>
    <i r="2">
      <x v="37"/>
    </i>
    <i r="2">
      <x v="111"/>
    </i>
    <i t="blank">
      <x v="45"/>
    </i>
    <i>
      <x v="46"/>
    </i>
    <i r="1">
      <x/>
      <x v="82"/>
    </i>
    <i r="1">
      <x v="1"/>
      <x v="104"/>
    </i>
    <i r="1">
      <x v="2"/>
      <x v="112"/>
    </i>
    <i r="1">
      <x v="3"/>
      <x v="68"/>
    </i>
    <i r="1">
      <x v="4"/>
      <x v="114"/>
    </i>
    <i r="1">
      <x v="5"/>
      <x v="100"/>
    </i>
    <i r="1">
      <x v="6"/>
      <x v="1"/>
    </i>
    <i r="2">
      <x v="111"/>
    </i>
    <i r="1">
      <x v="8"/>
      <x v="103"/>
    </i>
    <i r="1">
      <x v="9"/>
      <x/>
    </i>
    <i r="2">
      <x v="13"/>
    </i>
    <i r="2">
      <x v="72"/>
    </i>
    <i r="1">
      <x v="12"/>
      <x v="3"/>
    </i>
    <i r="2">
      <x v="80"/>
    </i>
    <i r="1">
      <x v="14"/>
      <x v="2"/>
    </i>
    <i r="2">
      <x v="81"/>
    </i>
    <i r="2">
      <x v="84"/>
    </i>
    <i r="1">
      <x v="17"/>
      <x v="102"/>
    </i>
    <i r="2">
      <x v="118"/>
    </i>
    <i r="1">
      <x v="19"/>
      <x v="9"/>
    </i>
    <i t="blank">
      <x v="46"/>
    </i>
    <i>
      <x v="47"/>
    </i>
    <i r="1">
      <x/>
      <x v="104"/>
    </i>
    <i r="1">
      <x v="1"/>
      <x v="103"/>
    </i>
    <i r="1">
      <x v="2"/>
      <x v="100"/>
    </i>
    <i r="1">
      <x v="3"/>
      <x v="67"/>
    </i>
    <i r="1">
      <x v="4"/>
      <x v="68"/>
    </i>
    <i r="1">
      <x v="5"/>
      <x/>
    </i>
    <i r="1">
      <x v="6"/>
      <x v="112"/>
    </i>
    <i r="1">
      <x v="7"/>
      <x v="1"/>
    </i>
    <i r="1">
      <x v="8"/>
      <x v="2"/>
    </i>
    <i r="2">
      <x v="96"/>
    </i>
    <i r="2">
      <x v="98"/>
    </i>
    <i r="1">
      <x v="11"/>
      <x v="74"/>
    </i>
    <i r="1">
      <x v="12"/>
      <x v="114"/>
    </i>
    <i r="1">
      <x v="13"/>
      <x v="69"/>
    </i>
    <i r="1">
      <x v="14"/>
      <x v="66"/>
    </i>
    <i r="2">
      <x v="95"/>
    </i>
    <i r="2">
      <x v="121"/>
    </i>
    <i r="1">
      <x v="17"/>
      <x v="78"/>
    </i>
    <i r="1">
      <x v="18"/>
      <x v="61"/>
    </i>
    <i r="2">
      <x v="72"/>
    </i>
    <i t="blank">
      <x v="47"/>
    </i>
    <i>
      <x v="48"/>
    </i>
    <i r="1">
      <x/>
      <x v="100"/>
    </i>
    <i r="1">
      <x v="1"/>
      <x v="104"/>
    </i>
    <i r="1">
      <x v="2"/>
      <x v="82"/>
    </i>
    <i r="1">
      <x v="3"/>
      <x v="112"/>
    </i>
    <i r="1">
      <x v="4"/>
      <x v="114"/>
    </i>
    <i r="1">
      <x v="5"/>
      <x v="103"/>
    </i>
    <i r="1">
      <x v="6"/>
      <x v="22"/>
    </i>
    <i r="1">
      <x v="7"/>
      <x v="118"/>
    </i>
    <i r="1">
      <x v="8"/>
      <x v="11"/>
    </i>
    <i r="2">
      <x v="13"/>
    </i>
    <i r="1">
      <x v="10"/>
      <x/>
    </i>
    <i r="2">
      <x v="68"/>
    </i>
    <i r="1">
      <x v="12"/>
      <x v="96"/>
    </i>
    <i r="1">
      <x v="13"/>
      <x v="10"/>
    </i>
    <i r="1">
      <x v="14"/>
      <x v="8"/>
    </i>
    <i r="2">
      <x v="102"/>
    </i>
    <i r="1">
      <x v="16"/>
      <x v="1"/>
    </i>
    <i r="2">
      <x v="2"/>
    </i>
    <i r="2">
      <x v="36"/>
    </i>
    <i r="1">
      <x v="19"/>
      <x v="4"/>
    </i>
    <i t="blank">
      <x v="48"/>
    </i>
    <i>
      <x v="49"/>
    </i>
    <i r="1">
      <x/>
      <x v="82"/>
    </i>
    <i r="1">
      <x v="1"/>
      <x v="104"/>
    </i>
    <i r="1">
      <x v="2"/>
      <x v="100"/>
    </i>
    <i r="1">
      <x v="3"/>
      <x v="11"/>
    </i>
    <i r="1">
      <x v="4"/>
      <x v="103"/>
    </i>
    <i r="1">
      <x v="5"/>
      <x v="68"/>
    </i>
    <i r="2">
      <x v="96"/>
    </i>
    <i r="2">
      <x v="114"/>
    </i>
    <i r="1">
      <x v="8"/>
      <x v="112"/>
    </i>
    <i r="1">
      <x v="9"/>
      <x v="13"/>
    </i>
    <i r="1">
      <x v="10"/>
      <x v="78"/>
    </i>
    <i r="1">
      <x v="11"/>
      <x v="118"/>
    </i>
    <i r="1">
      <x v="12"/>
      <x v="80"/>
    </i>
    <i r="2">
      <x v="81"/>
    </i>
    <i r="1">
      <x v="14"/>
      <x v="1"/>
    </i>
    <i r="2">
      <x v="3"/>
    </i>
    <i r="2">
      <x v="84"/>
    </i>
    <i r="1">
      <x v="17"/>
      <x v="55"/>
    </i>
    <i r="1">
      <x v="18"/>
      <x/>
    </i>
    <i r="2">
      <x v="9"/>
    </i>
    <i t="blank">
      <x v="49"/>
    </i>
    <i>
      <x v="50"/>
    </i>
    <i r="1">
      <x/>
      <x v="82"/>
    </i>
    <i r="1">
      <x v="1"/>
      <x v="104"/>
    </i>
    <i r="1">
      <x v="2"/>
      <x v="100"/>
    </i>
    <i r="1">
      <x v="3"/>
      <x v="68"/>
    </i>
    <i r="2">
      <x v="114"/>
    </i>
    <i r="1">
      <x v="5"/>
      <x v="112"/>
    </i>
    <i r="1">
      <x v="6"/>
      <x v="11"/>
    </i>
    <i r="1">
      <x v="7"/>
      <x v="103"/>
    </i>
    <i r="1">
      <x v="8"/>
      <x v="13"/>
    </i>
    <i r="1">
      <x v="9"/>
      <x v="118"/>
    </i>
    <i r="1">
      <x v="10"/>
      <x v="96"/>
    </i>
    <i r="1">
      <x v="11"/>
      <x v="9"/>
    </i>
    <i r="2">
      <x v="111"/>
    </i>
    <i r="1">
      <x v="13"/>
      <x v="1"/>
    </i>
    <i r="2">
      <x v="10"/>
    </i>
    <i r="2">
      <x v="98"/>
    </i>
    <i r="1">
      <x v="16"/>
      <x v="36"/>
    </i>
    <i r="2">
      <x v="92"/>
    </i>
    <i r="1">
      <x v="18"/>
      <x v="8"/>
    </i>
    <i r="1">
      <x v="19"/>
      <x v="78"/>
    </i>
    <i r="2">
      <x v="102"/>
    </i>
    <i t="blank">
      <x v="50"/>
    </i>
    <i>
      <x v="51"/>
    </i>
    <i r="1">
      <x/>
      <x v="107"/>
    </i>
    <i r="1">
      <x v="1"/>
      <x v="100"/>
    </i>
    <i r="1">
      <x v="2"/>
      <x v="112"/>
    </i>
    <i r="1">
      <x v="3"/>
      <x v="68"/>
    </i>
    <i r="2">
      <x v="82"/>
    </i>
    <i r="1">
      <x v="5"/>
      <x v="104"/>
    </i>
    <i r="1">
      <x v="6"/>
      <x v="36"/>
    </i>
    <i r="1">
      <x v="7"/>
      <x v="103"/>
    </i>
    <i r="2">
      <x v="114"/>
    </i>
    <i r="1">
      <x v="9"/>
      <x/>
    </i>
    <i r="2">
      <x v="52"/>
    </i>
    <i r="1">
      <x v="11"/>
      <x v="1"/>
    </i>
    <i r="1">
      <x v="12"/>
      <x v="81"/>
    </i>
    <i r="2">
      <x v="101"/>
    </i>
    <i r="1">
      <x v="14"/>
      <x v="83"/>
    </i>
    <i r="1">
      <x v="15"/>
      <x v="11"/>
    </i>
    <i r="2">
      <x v="45"/>
    </i>
    <i r="2">
      <x v="78"/>
    </i>
    <i r="2">
      <x v="96"/>
    </i>
    <i r="1">
      <x v="19"/>
      <x v="2"/>
    </i>
    <i r="2">
      <x v="98"/>
    </i>
    <i t="blank">
      <x v="51"/>
    </i>
    <i>
      <x v="52"/>
    </i>
    <i r="1">
      <x/>
      <x v="82"/>
    </i>
    <i r="1">
      <x v="1"/>
      <x v="104"/>
    </i>
    <i r="1">
      <x v="2"/>
      <x v="112"/>
    </i>
    <i r="1">
      <x v="3"/>
      <x v="103"/>
    </i>
    <i r="1">
      <x v="4"/>
      <x v="114"/>
    </i>
    <i r="1">
      <x v="5"/>
      <x/>
    </i>
    <i r="1">
      <x v="6"/>
      <x v="68"/>
    </i>
    <i r="1">
      <x v="7"/>
      <x v="2"/>
    </i>
    <i r="1">
      <x v="8"/>
      <x v="96"/>
    </i>
    <i r="2">
      <x v="115"/>
    </i>
    <i r="1">
      <x v="10"/>
      <x v="100"/>
    </i>
    <i r="1">
      <x v="11"/>
      <x v="13"/>
    </i>
    <i r="2">
      <x v="37"/>
    </i>
    <i r="2">
      <x v="81"/>
    </i>
    <i r="1">
      <x v="14"/>
      <x v="1"/>
    </i>
    <i r="2">
      <x v="78"/>
    </i>
    <i r="2">
      <x v="98"/>
    </i>
    <i r="2">
      <x v="116"/>
    </i>
    <i r="1">
      <x v="18"/>
      <x v="118"/>
    </i>
    <i r="1">
      <x v="19"/>
      <x v="102"/>
    </i>
    <i t="blank">
      <x v="52"/>
    </i>
    <i>
      <x v="53"/>
    </i>
    <i r="1">
      <x/>
      <x v="82"/>
    </i>
    <i r="1">
      <x v="1"/>
      <x v="104"/>
    </i>
    <i r="1">
      <x v="2"/>
      <x v="100"/>
    </i>
    <i r="1">
      <x v="3"/>
      <x v="114"/>
    </i>
    <i r="1">
      <x v="4"/>
      <x v="103"/>
    </i>
    <i r="1">
      <x v="5"/>
      <x v="9"/>
    </i>
    <i r="2">
      <x v="11"/>
    </i>
    <i r="2">
      <x v="112"/>
    </i>
    <i r="1">
      <x v="8"/>
      <x v="41"/>
    </i>
    <i r="2">
      <x v="68"/>
    </i>
    <i r="1">
      <x v="10"/>
      <x v="1"/>
    </i>
    <i r="1">
      <x v="11"/>
      <x v="36"/>
    </i>
    <i r="1">
      <x v="12"/>
      <x/>
    </i>
    <i r="2">
      <x v="8"/>
    </i>
    <i r="2">
      <x v="13"/>
    </i>
    <i r="2">
      <x v="96"/>
    </i>
    <i r="1">
      <x v="16"/>
      <x v="3"/>
    </i>
    <i r="1">
      <x v="17"/>
      <x v="5"/>
    </i>
    <i r="2">
      <x v="81"/>
    </i>
    <i r="1">
      <x v="19"/>
      <x v="69"/>
    </i>
    <i r="2">
      <x v="80"/>
    </i>
    <i r="2">
      <x v="102"/>
    </i>
    <i r="2">
      <x v="111"/>
    </i>
    <i t="blank">
      <x v="53"/>
    </i>
    <i>
      <x v="54"/>
    </i>
    <i r="1">
      <x/>
      <x v="82"/>
    </i>
    <i r="1">
      <x v="1"/>
      <x v="112"/>
    </i>
    <i r="1">
      <x v="2"/>
      <x v="104"/>
    </i>
    <i r="1">
      <x v="3"/>
      <x/>
    </i>
    <i r="2">
      <x v="103"/>
    </i>
    <i r="1">
      <x v="5"/>
      <x v="1"/>
    </i>
    <i r="1">
      <x v="6"/>
      <x v="68"/>
    </i>
    <i r="2">
      <x v="84"/>
    </i>
    <i r="2">
      <x v="100"/>
    </i>
    <i r="1">
      <x v="9"/>
      <x v="80"/>
    </i>
    <i r="1">
      <x v="10"/>
      <x v="11"/>
    </i>
    <i r="2">
      <x v="114"/>
    </i>
    <i r="1">
      <x v="12"/>
      <x v="2"/>
    </i>
    <i r="2">
      <x v="78"/>
    </i>
    <i r="2">
      <x v="96"/>
    </i>
    <i r="1">
      <x v="15"/>
      <x v="111"/>
    </i>
    <i r="2">
      <x v="118"/>
    </i>
    <i r="1">
      <x v="17"/>
      <x v="61"/>
    </i>
    <i r="1">
      <x v="18"/>
      <x v="72"/>
    </i>
    <i r="1">
      <x v="19"/>
      <x v="10"/>
    </i>
    <i r="2">
      <x v="81"/>
    </i>
    <i r="2">
      <x v="92"/>
    </i>
    <i r="2">
      <x v="102"/>
    </i>
    <i t="blank">
      <x v="54"/>
    </i>
    <i>
      <x v="55"/>
    </i>
    <i r="1">
      <x/>
      <x v="104"/>
    </i>
    <i r="1">
      <x v="1"/>
      <x v="112"/>
    </i>
    <i r="1">
      <x v="2"/>
      <x v="68"/>
    </i>
    <i r="1">
      <x v="3"/>
      <x v="72"/>
    </i>
    <i r="2">
      <x v="103"/>
    </i>
    <i r="1">
      <x v="5"/>
      <x v="100"/>
    </i>
    <i r="2">
      <x v="114"/>
    </i>
    <i r="1">
      <x v="7"/>
      <x v="111"/>
    </i>
    <i r="1">
      <x v="8"/>
      <x/>
    </i>
    <i r="2">
      <x v="11"/>
    </i>
    <i r="1">
      <x v="10"/>
      <x v="38"/>
    </i>
    <i r="2">
      <x v="40"/>
    </i>
    <i r="2">
      <x v="118"/>
    </i>
    <i r="1">
      <x v="13"/>
      <x v="1"/>
    </i>
    <i r="2">
      <x v="61"/>
    </i>
    <i r="2">
      <x v="82"/>
    </i>
    <i r="1">
      <x v="16"/>
      <x v="9"/>
    </i>
    <i r="2">
      <x v="78"/>
    </i>
    <i r="1">
      <x v="18"/>
      <x v="2"/>
    </i>
    <i r="2">
      <x v="10"/>
    </i>
    <i r="2">
      <x v="13"/>
    </i>
    <i r="2">
      <x v="36"/>
    </i>
    <i r="2">
      <x v="96"/>
    </i>
    <i r="2">
      <x v="101"/>
    </i>
    <i t="blank">
      <x v="55"/>
    </i>
    <i>
      <x v="56"/>
    </i>
    <i r="1">
      <x/>
      <x v="82"/>
    </i>
    <i r="1">
      <x v="1"/>
      <x v="50"/>
    </i>
    <i r="1">
      <x v="2"/>
      <x v="100"/>
    </i>
    <i r="1">
      <x v="3"/>
      <x v="104"/>
    </i>
    <i r="1">
      <x v="4"/>
      <x v="51"/>
    </i>
    <i r="2">
      <x v="83"/>
    </i>
    <i r="1">
      <x v="6"/>
      <x v="68"/>
    </i>
    <i r="2">
      <x v="80"/>
    </i>
    <i r="2">
      <x v="98"/>
    </i>
    <i r="2">
      <x v="118"/>
    </i>
    <i r="1">
      <x v="10"/>
      <x v="61"/>
    </i>
    <i r="2">
      <x v="69"/>
    </i>
    <i r="2">
      <x v="81"/>
    </i>
    <i r="2">
      <x v="92"/>
    </i>
    <i r="2">
      <x v="96"/>
    </i>
    <i r="2">
      <x v="103"/>
    </i>
    <i r="1">
      <x v="16"/>
      <x v="67"/>
    </i>
    <i r="2">
      <x v="102"/>
    </i>
    <i r="2">
      <x v="112"/>
    </i>
    <i r="2">
      <x v="114"/>
    </i>
    <i r="2">
      <x v="120"/>
    </i>
    <i t="blank">
      <x v="56"/>
    </i>
    <i>
      <x v="57"/>
    </i>
    <i r="1">
      <x/>
      <x v="37"/>
    </i>
    <i r="1">
      <x v="1"/>
      <x v="100"/>
    </i>
    <i r="1">
      <x v="2"/>
      <x v="112"/>
    </i>
    <i r="1">
      <x v="3"/>
      <x v="104"/>
    </i>
    <i r="1">
      <x v="4"/>
      <x v="52"/>
    </i>
    <i r="2">
      <x v="118"/>
    </i>
    <i r="1">
      <x v="6"/>
      <x v="68"/>
    </i>
    <i r="1">
      <x v="7"/>
      <x/>
    </i>
    <i r="1">
      <x v="8"/>
      <x v="103"/>
    </i>
    <i r="2">
      <x v="114"/>
    </i>
    <i r="1">
      <x v="10"/>
      <x v="4"/>
    </i>
    <i r="2">
      <x v="39"/>
    </i>
    <i r="2">
      <x v="61"/>
    </i>
    <i r="1">
      <x v="13"/>
      <x v="11"/>
    </i>
    <i r="2">
      <x v="13"/>
    </i>
    <i r="2">
      <x v="36"/>
    </i>
    <i r="2">
      <x v="72"/>
    </i>
    <i r="2">
      <x v="106"/>
    </i>
    <i r="1">
      <x v="18"/>
      <x v="2"/>
    </i>
    <i r="2">
      <x v="45"/>
    </i>
    <i r="2">
      <x v="78"/>
    </i>
    <i r="2">
      <x v="96"/>
    </i>
    <i r="2">
      <x v="115"/>
    </i>
    <i t="blank">
      <x v="57"/>
    </i>
    <i>
      <x v="58"/>
    </i>
    <i r="1">
      <x/>
      <x v="82"/>
    </i>
    <i r="1">
      <x v="1"/>
      <x v="104"/>
    </i>
    <i r="1">
      <x v="2"/>
      <x v="112"/>
    </i>
    <i r="1">
      <x v="3"/>
      <x v="114"/>
    </i>
    <i r="1">
      <x v="4"/>
      <x v="100"/>
    </i>
    <i r="1">
      <x v="5"/>
      <x v="103"/>
    </i>
    <i r="1">
      <x v="6"/>
      <x v="96"/>
    </i>
    <i r="1">
      <x v="7"/>
      <x v="98"/>
    </i>
    <i r="1">
      <x v="8"/>
      <x v="68"/>
    </i>
    <i r="2">
      <x v="78"/>
    </i>
    <i r="1">
      <x v="10"/>
      <x v="105"/>
    </i>
    <i r="1">
      <x v="11"/>
      <x v="92"/>
    </i>
    <i r="1">
      <x v="12"/>
      <x v="61"/>
    </i>
    <i r="2">
      <x v="87"/>
    </i>
    <i r="2">
      <x v="102"/>
    </i>
    <i r="2">
      <x v="110"/>
    </i>
    <i r="2">
      <x v="111"/>
    </i>
    <i r="1">
      <x v="17"/>
      <x v="37"/>
    </i>
    <i r="2">
      <x v="67"/>
    </i>
    <i r="2">
      <x v="72"/>
    </i>
    <i t="blank">
      <x v="58"/>
    </i>
    <i>
      <x v="59"/>
    </i>
    <i r="1">
      <x/>
      <x v="82"/>
    </i>
    <i r="1">
      <x v="1"/>
      <x v="11"/>
    </i>
    <i r="1">
      <x v="2"/>
      <x v="104"/>
    </i>
    <i r="1">
      <x v="3"/>
      <x v="112"/>
    </i>
    <i r="1">
      <x v="4"/>
      <x v="100"/>
    </i>
    <i r="1">
      <x v="5"/>
      <x v="81"/>
    </i>
    <i r="1">
      <x v="6"/>
      <x v="9"/>
    </i>
    <i r="2">
      <x v="98"/>
    </i>
    <i r="2">
      <x v="103"/>
    </i>
    <i r="1">
      <x v="9"/>
      <x v="13"/>
    </i>
    <i r="2">
      <x v="68"/>
    </i>
    <i r="1">
      <x v="11"/>
      <x v="102"/>
    </i>
    <i r="1">
      <x v="12"/>
      <x/>
    </i>
    <i r="2">
      <x v="5"/>
    </i>
    <i r="2">
      <x v="111"/>
    </i>
    <i r="2">
      <x v="118"/>
    </i>
    <i r="1">
      <x v="16"/>
      <x v="12"/>
    </i>
    <i r="2">
      <x v="72"/>
    </i>
    <i r="2">
      <x v="78"/>
    </i>
    <i r="2">
      <x v="99"/>
    </i>
    <i t="blank">
      <x v="59"/>
    </i>
    <i>
      <x v="60"/>
    </i>
    <i r="1">
      <x/>
      <x v="104"/>
    </i>
    <i r="1">
      <x v="1"/>
      <x v="82"/>
    </i>
    <i r="1">
      <x v="2"/>
      <x v="96"/>
    </i>
    <i r="2">
      <x v="114"/>
    </i>
    <i r="1">
      <x v="4"/>
      <x v="100"/>
    </i>
    <i r="1">
      <x v="5"/>
      <x v="112"/>
    </i>
    <i r="1">
      <x v="6"/>
      <x v="98"/>
    </i>
    <i r="1">
      <x v="7"/>
      <x v="1"/>
    </i>
    <i r="2">
      <x v="103"/>
    </i>
    <i r="1">
      <x v="9"/>
      <x v="2"/>
    </i>
    <i r="1">
      <x v="10"/>
      <x/>
    </i>
    <i r="2">
      <x v="11"/>
    </i>
    <i r="1">
      <x v="12"/>
      <x v="111"/>
    </i>
    <i r="1">
      <x v="13"/>
      <x v="67"/>
    </i>
    <i r="2">
      <x v="78"/>
    </i>
    <i r="2">
      <x v="105"/>
    </i>
    <i r="1">
      <x v="16"/>
      <x v="68"/>
    </i>
    <i r="2">
      <x v="102"/>
    </i>
    <i r="1">
      <x v="18"/>
      <x v="10"/>
    </i>
    <i r="2">
      <x v="69"/>
    </i>
    <i t="blank">
      <x v="60"/>
    </i>
    <i>
      <x v="61"/>
    </i>
    <i r="1">
      <x/>
      <x v="46"/>
    </i>
    <i r="1">
      <x v="1"/>
      <x v="36"/>
    </i>
    <i r="1">
      <x v="2"/>
      <x v="47"/>
    </i>
    <i r="1">
      <x v="3"/>
      <x v="117"/>
    </i>
    <i r="1">
      <x v="4"/>
      <x v="52"/>
    </i>
    <i r="2">
      <x v="56"/>
    </i>
    <i r="2">
      <x v="118"/>
    </i>
    <i r="1">
      <x v="7"/>
      <x v="45"/>
    </i>
    <i r="2">
      <x v="78"/>
    </i>
    <i r="2">
      <x v="100"/>
    </i>
    <i r="2">
      <x v="120"/>
    </i>
    <i r="1">
      <x v="11"/>
      <x v="35"/>
    </i>
    <i r="2">
      <x v="68"/>
    </i>
    <i r="1">
      <x v="13"/>
      <x/>
    </i>
    <i r="2">
      <x v="54"/>
    </i>
    <i r="1">
      <x v="15"/>
      <x v="1"/>
    </i>
    <i r="2">
      <x v="26"/>
    </i>
    <i r="2">
      <x v="29"/>
    </i>
    <i r="2">
      <x v="48"/>
    </i>
    <i r="2">
      <x v="76"/>
    </i>
    <i r="2">
      <x v="81"/>
    </i>
    <i r="2">
      <x v="85"/>
    </i>
    <i r="2">
      <x v="96"/>
    </i>
    <i r="2">
      <x v="112"/>
    </i>
    <i t="blank">
      <x v="61"/>
    </i>
    <i>
      <x v="62"/>
    </i>
    <i r="1">
      <x/>
      <x v="104"/>
    </i>
    <i r="1">
      <x v="1"/>
      <x v="68"/>
    </i>
    <i r="2">
      <x v="96"/>
    </i>
    <i r="1">
      <x v="3"/>
      <x v="103"/>
    </i>
    <i r="1">
      <x v="4"/>
      <x v="114"/>
    </i>
    <i r="1">
      <x v="5"/>
      <x v="6"/>
    </i>
    <i r="2">
      <x v="112"/>
    </i>
    <i r="1">
      <x v="7"/>
      <x v="1"/>
    </i>
    <i r="2">
      <x v="11"/>
    </i>
    <i r="1">
      <x v="9"/>
      <x v="78"/>
    </i>
    <i r="2">
      <x v="100"/>
    </i>
    <i r="1">
      <x v="11"/>
      <x/>
    </i>
    <i r="2">
      <x v="5"/>
    </i>
    <i r="1">
      <x v="13"/>
      <x v="2"/>
    </i>
    <i r="2">
      <x v="67"/>
    </i>
    <i r="2">
      <x v="118"/>
    </i>
    <i r="1">
      <x v="16"/>
      <x v="66"/>
    </i>
    <i r="2">
      <x v="69"/>
    </i>
    <i r="1">
      <x v="18"/>
      <x v="10"/>
    </i>
    <i r="2">
      <x v="59"/>
    </i>
    <i r="2">
      <x v="99"/>
    </i>
    <i r="2">
      <x v="105"/>
    </i>
    <i r="2">
      <x v="115"/>
    </i>
    <i t="blank">
      <x v="62"/>
    </i>
    <i>
      <x v="63"/>
    </i>
    <i r="1">
      <x/>
      <x v="82"/>
    </i>
    <i r="1">
      <x v="1"/>
      <x v="104"/>
    </i>
    <i r="1">
      <x v="2"/>
      <x v="114"/>
    </i>
    <i r="1">
      <x v="3"/>
      <x v="103"/>
    </i>
    <i r="1">
      <x v="4"/>
      <x/>
    </i>
    <i r="1">
      <x v="5"/>
      <x v="81"/>
    </i>
    <i r="1">
      <x v="6"/>
      <x v="11"/>
    </i>
    <i r="2">
      <x v="100"/>
    </i>
    <i r="2">
      <x v="112"/>
    </i>
    <i r="1">
      <x v="9"/>
      <x v="96"/>
    </i>
    <i r="1">
      <x v="10"/>
      <x v="40"/>
    </i>
    <i r="1">
      <x v="11"/>
      <x v="68"/>
    </i>
    <i r="1">
      <x v="12"/>
      <x v="78"/>
    </i>
    <i r="1">
      <x v="13"/>
      <x v="61"/>
    </i>
    <i r="2">
      <x v="72"/>
    </i>
    <i r="1">
      <x v="15"/>
      <x v="37"/>
    </i>
    <i r="2">
      <x v="111"/>
    </i>
    <i r="1">
      <x v="17"/>
      <x v="10"/>
    </i>
    <i r="2">
      <x v="38"/>
    </i>
    <i r="2">
      <x v="62"/>
    </i>
    <i r="2">
      <x v="98"/>
    </i>
    <i t="blank">
      <x v="63"/>
    </i>
    <i>
      <x v="64"/>
    </i>
    <i r="1">
      <x/>
      <x v="93"/>
    </i>
    <i r="1">
      <x v="1"/>
      <x v="15"/>
    </i>
    <i r="1">
      <x v="2"/>
      <x v="109"/>
    </i>
    <i r="1">
      <x v="3"/>
      <x v="67"/>
    </i>
    <i r="1">
      <x v="4"/>
      <x v="100"/>
    </i>
    <i r="1">
      <x v="5"/>
      <x v="96"/>
    </i>
    <i r="1">
      <x v="6"/>
      <x v="103"/>
    </i>
    <i r="1">
      <x v="7"/>
      <x v="78"/>
    </i>
    <i r="1">
      <x v="8"/>
      <x v="50"/>
    </i>
    <i r="2">
      <x v="104"/>
    </i>
    <i r="1">
      <x v="10"/>
      <x v="66"/>
    </i>
    <i r="2">
      <x v="68"/>
    </i>
    <i r="1">
      <x v="12"/>
      <x v="11"/>
    </i>
    <i r="1">
      <x v="13"/>
      <x v="18"/>
    </i>
    <i r="2">
      <x v="118"/>
    </i>
    <i r="1">
      <x v="15"/>
      <x v="2"/>
    </i>
    <i r="2">
      <x v="69"/>
    </i>
    <i r="2">
      <x v="72"/>
    </i>
    <i r="2">
      <x v="98"/>
    </i>
    <i r="1">
      <x v="19"/>
      <x v="30"/>
    </i>
    <i r="2">
      <x v="70"/>
    </i>
    <i r="2">
      <x v="74"/>
    </i>
    <i r="2">
      <x v="114"/>
    </i>
    <i t="blank">
      <x v="64"/>
    </i>
    <i>
      <x v="65"/>
    </i>
    <i r="1">
      <x/>
      <x v="82"/>
    </i>
    <i r="1">
      <x v="1"/>
      <x v="2"/>
    </i>
    <i r="1">
      <x v="2"/>
      <x v="104"/>
    </i>
    <i r="2">
      <x v="112"/>
    </i>
    <i r="1">
      <x v="4"/>
      <x v="68"/>
    </i>
    <i r="1">
      <x v="5"/>
      <x v="11"/>
    </i>
    <i r="2">
      <x v="103"/>
    </i>
    <i r="1">
      <x v="7"/>
      <x v="114"/>
    </i>
    <i r="1">
      <x v="8"/>
      <x v="100"/>
    </i>
    <i r="1">
      <x v="9"/>
      <x v="92"/>
    </i>
    <i r="1">
      <x v="10"/>
      <x v="78"/>
    </i>
    <i r="2">
      <x v="96"/>
    </i>
    <i r="2">
      <x v="102"/>
    </i>
    <i r="2">
      <x v="111"/>
    </i>
    <i r="1">
      <x v="14"/>
      <x v="4"/>
    </i>
    <i r="2">
      <x v="66"/>
    </i>
    <i r="1">
      <x v="16"/>
      <x v="1"/>
    </i>
    <i r="2">
      <x v="80"/>
    </i>
    <i r="2">
      <x v="93"/>
    </i>
    <i r="1">
      <x v="19"/>
      <x v="13"/>
    </i>
    <i r="2">
      <x v="36"/>
    </i>
    <i r="2">
      <x v="118"/>
    </i>
    <i t="blank">
      <x v="65"/>
    </i>
    <i>
      <x v="66"/>
    </i>
    <i r="1">
      <x/>
      <x v="104"/>
    </i>
    <i r="1">
      <x v="1"/>
      <x v="98"/>
    </i>
    <i r="2">
      <x v="112"/>
    </i>
    <i r="1">
      <x v="3"/>
      <x v="82"/>
    </i>
    <i r="1">
      <x v="4"/>
      <x v="100"/>
    </i>
    <i r="1">
      <x v="5"/>
      <x v="103"/>
    </i>
    <i r="2">
      <x v="114"/>
    </i>
    <i r="1">
      <x v="7"/>
      <x v="68"/>
    </i>
    <i r="1">
      <x v="8"/>
      <x/>
    </i>
    <i r="1">
      <x v="9"/>
      <x v="1"/>
    </i>
    <i r="2">
      <x v="2"/>
    </i>
    <i r="2">
      <x v="96"/>
    </i>
    <i r="1">
      <x v="12"/>
      <x v="78"/>
    </i>
    <i r="1">
      <x v="13"/>
      <x v="69"/>
    </i>
    <i r="2">
      <x v="111"/>
    </i>
    <i r="2">
      <x v="118"/>
    </i>
    <i r="1">
      <x v="16"/>
      <x v="13"/>
    </i>
    <i r="1">
      <x v="17"/>
      <x v="36"/>
    </i>
    <i r="2">
      <x v="102"/>
    </i>
    <i r="1">
      <x v="19"/>
      <x v="80"/>
    </i>
    <i r="2">
      <x v="84"/>
    </i>
    <i r="2">
      <x v="92"/>
    </i>
    <i t="blank">
      <x v="66"/>
    </i>
    <i>
      <x v="67"/>
    </i>
    <i r="1">
      <x/>
      <x v="104"/>
    </i>
    <i r="1">
      <x v="1"/>
      <x v="112"/>
    </i>
    <i r="1">
      <x v="2"/>
      <x v="82"/>
    </i>
    <i r="2">
      <x v="103"/>
    </i>
    <i r="1">
      <x v="4"/>
      <x v="68"/>
    </i>
    <i r="1">
      <x v="5"/>
      <x v="100"/>
    </i>
    <i r="1">
      <x v="6"/>
      <x v="96"/>
    </i>
    <i r="1">
      <x v="7"/>
      <x v="1"/>
    </i>
    <i r="2">
      <x v="11"/>
    </i>
    <i r="2">
      <x v="13"/>
    </i>
    <i r="2">
      <x v="114"/>
    </i>
    <i r="1">
      <x v="11"/>
      <x/>
    </i>
    <i r="2">
      <x v="78"/>
    </i>
    <i r="1">
      <x v="13"/>
      <x v="5"/>
    </i>
    <i r="2">
      <x v="7"/>
    </i>
    <i r="1">
      <x v="15"/>
      <x v="98"/>
    </i>
    <i r="1">
      <x v="16"/>
      <x v="67"/>
    </i>
    <i r="2">
      <x v="102"/>
    </i>
    <i r="2">
      <x v="118"/>
    </i>
    <i r="1">
      <x v="19"/>
      <x v="2"/>
    </i>
    <i r="2">
      <x v="10"/>
    </i>
    <i r="2">
      <x v="37"/>
    </i>
    <i r="2">
      <x v="74"/>
    </i>
    <i r="2">
      <x v="111"/>
    </i>
    <i t="blank">
      <x v="67"/>
    </i>
    <i>
      <x v="68"/>
    </i>
    <i r="1">
      <x/>
      <x/>
    </i>
    <i r="2">
      <x v="103"/>
    </i>
    <i r="2">
      <x v="104"/>
    </i>
    <i r="1">
      <x v="3"/>
      <x v="11"/>
    </i>
    <i r="1">
      <x v="4"/>
      <x v="74"/>
    </i>
    <i r="2">
      <x v="75"/>
    </i>
    <i r="2">
      <x v="93"/>
    </i>
    <i r="1">
      <x v="7"/>
      <x v="61"/>
    </i>
    <i r="2">
      <x v="96"/>
    </i>
    <i r="2">
      <x v="102"/>
    </i>
    <i r="2">
      <x v="113"/>
    </i>
    <i r="2">
      <x v="114"/>
    </i>
    <i r="1">
      <x v="12"/>
      <x v="5"/>
    </i>
    <i r="2">
      <x v="68"/>
    </i>
    <i r="2">
      <x v="69"/>
    </i>
    <i r="2">
      <x v="72"/>
    </i>
    <i r="2">
      <x v="94"/>
    </i>
    <i r="1">
      <x v="17"/>
      <x v="1"/>
    </i>
    <i r="2">
      <x v="3"/>
    </i>
    <i r="2">
      <x v="4"/>
    </i>
    <i r="2">
      <x v="6"/>
    </i>
    <i r="2">
      <x v="13"/>
    </i>
    <i r="2">
      <x v="19"/>
    </i>
    <i r="2">
      <x v="25"/>
    </i>
    <i r="2">
      <x v="27"/>
    </i>
    <i r="2">
      <x v="44"/>
    </i>
    <i r="2">
      <x v="52"/>
    </i>
    <i r="2">
      <x v="63"/>
    </i>
    <i r="2">
      <x v="64"/>
    </i>
    <i r="2">
      <x v="65"/>
    </i>
    <i r="2">
      <x v="67"/>
    </i>
    <i r="2">
      <x v="73"/>
    </i>
    <i r="2">
      <x v="78"/>
    </i>
    <i r="2">
      <x v="95"/>
    </i>
    <i r="2">
      <x v="97"/>
    </i>
    <i r="2">
      <x v="100"/>
    </i>
    <i r="2">
      <x v="101"/>
    </i>
    <i r="2">
      <x v="109"/>
    </i>
    <i r="2">
      <x v="120"/>
    </i>
    <i t="blank">
      <x v="68"/>
    </i>
    <i>
      <x v="69"/>
    </i>
    <i r="1">
      <x/>
      <x v="2"/>
    </i>
    <i r="1">
      <x v="1"/>
      <x/>
    </i>
    <i r="2">
      <x v="68"/>
    </i>
    <i r="2">
      <x v="95"/>
    </i>
    <i r="1">
      <x v="4"/>
      <x v="11"/>
    </i>
    <i r="2">
      <x v="66"/>
    </i>
    <i r="2">
      <x v="67"/>
    </i>
    <i r="2">
      <x v="96"/>
    </i>
    <i r="2">
      <x v="100"/>
    </i>
    <i r="2">
      <x v="104"/>
    </i>
    <i r="1">
      <x v="10"/>
      <x v="3"/>
    </i>
    <i r="2">
      <x v="4"/>
    </i>
    <i r="2">
      <x v="61"/>
    </i>
    <i r="2">
      <x v="103"/>
    </i>
    <i r="2">
      <x v="112"/>
    </i>
    <i r="2">
      <x v="114"/>
    </i>
    <i r="1">
      <x v="16"/>
      <x v="13"/>
    </i>
    <i r="2">
      <x v="25"/>
    </i>
    <i r="2">
      <x v="50"/>
    </i>
    <i r="2">
      <x v="69"/>
    </i>
    <i r="2">
      <x v="74"/>
    </i>
    <i r="2">
      <x v="77"/>
    </i>
    <i r="2">
      <x v="78"/>
    </i>
    <i r="2">
      <x v="94"/>
    </i>
    <i r="2">
      <x v="98"/>
    </i>
    <i r="2">
      <x v="109"/>
    </i>
    <i t="blank">
      <x v="69"/>
    </i>
    <i>
      <x v="70"/>
    </i>
    <i r="1">
      <x/>
      <x/>
    </i>
    <i r="2">
      <x v="65"/>
    </i>
    <i r="1">
      <x v="2"/>
      <x v="93"/>
    </i>
    <i r="1">
      <x v="3"/>
      <x v="31"/>
    </i>
    <i r="2">
      <x v="63"/>
    </i>
    <i r="2">
      <x v="74"/>
    </i>
    <i r="2">
      <x v="95"/>
    </i>
    <i r="2">
      <x v="119"/>
    </i>
    <i r="1">
      <x v="8"/>
      <x v="3"/>
    </i>
    <i r="2">
      <x v="16"/>
    </i>
    <i r="2">
      <x v="17"/>
    </i>
    <i r="2">
      <x v="20"/>
    </i>
    <i r="2">
      <x v="25"/>
    </i>
    <i r="2">
      <x v="40"/>
    </i>
    <i r="2">
      <x v="42"/>
    </i>
    <i r="2">
      <x v="49"/>
    </i>
    <i r="2">
      <x v="60"/>
    </i>
    <i r="2">
      <x v="66"/>
    </i>
    <i r="2">
      <x v="67"/>
    </i>
    <i r="2">
      <x v="68"/>
    </i>
    <i r="2">
      <x v="78"/>
    </i>
    <i r="2">
      <x v="79"/>
    </i>
    <i r="2">
      <x v="81"/>
    </i>
    <i r="2">
      <x v="82"/>
    </i>
    <i r="2">
      <x v="100"/>
    </i>
    <i r="2">
      <x v="101"/>
    </i>
    <i r="2">
      <x v="103"/>
    </i>
    <i r="2">
      <x v="104"/>
    </i>
    <i r="2">
      <x v="108"/>
    </i>
    <i r="2">
      <x v="113"/>
    </i>
    <i t="blank">
      <x v="70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10">
      <pivotArea field="2" type="button" dataOnly="0" labelOnly="1" outline="0" axis="axisRow" fieldPosition="0"/>
    </format>
    <format dxfId="1009">
      <pivotArea outline="0" fieldPosition="0">
        <references count="1">
          <reference field="4294967294" count="1">
            <x v="0"/>
          </reference>
        </references>
      </pivotArea>
    </format>
    <format dxfId="1008">
      <pivotArea outline="0" fieldPosition="0">
        <references count="1">
          <reference field="4294967294" count="1">
            <x v="1"/>
          </reference>
        </references>
      </pivotArea>
    </format>
    <format dxfId="1007">
      <pivotArea outline="0" fieldPosition="0">
        <references count="1">
          <reference field="4294967294" count="1">
            <x v="2"/>
          </reference>
        </references>
      </pivotArea>
    </format>
    <format dxfId="1006">
      <pivotArea outline="0" fieldPosition="0">
        <references count="1">
          <reference field="4294967294" count="1">
            <x v="3"/>
          </reference>
        </references>
      </pivotArea>
    </format>
    <format dxfId="1005">
      <pivotArea outline="0" fieldPosition="0">
        <references count="1">
          <reference field="4294967294" count="1">
            <x v="4"/>
          </reference>
        </references>
      </pivotArea>
    </format>
    <format dxfId="1004">
      <pivotArea outline="0" fieldPosition="0">
        <references count="1">
          <reference field="4294967294" count="1">
            <x v="5"/>
          </reference>
        </references>
      </pivotArea>
    </format>
    <format dxfId="1003">
      <pivotArea outline="0" fieldPosition="0">
        <references count="1">
          <reference field="4294967294" count="1">
            <x v="6"/>
          </reference>
        </references>
      </pivotArea>
    </format>
    <format dxfId="1002">
      <pivotArea field="2" type="button" dataOnly="0" labelOnly="1" outline="0" axis="axisRow" fieldPosition="0"/>
    </format>
    <format dxfId="10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00">
      <pivotArea field="2" type="button" dataOnly="0" labelOnly="1" outline="0" axis="axisRow" fieldPosition="0"/>
    </format>
    <format dxfId="9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8">
      <pivotArea field="2" type="button" dataOnly="0" labelOnly="1" outline="0" axis="axisRow" fieldPosition="0"/>
    </format>
    <format dxfId="9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9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3CCD0F-92DF-4102-9948-A7033B608038}" name="LTBL_23000" displayName="LTBL_23000" ref="B4:I20" totalsRowCount="1">
  <autoFilter ref="B4:I19" xr:uid="{0D3CCD0F-92DF-4102-9948-A7033B608038}"/>
  <tableColumns count="8">
    <tableColumn id="9" xr3:uid="{4227CFF5-752E-4412-9DC0-64CC5FC4F7B0}" name="産業大分類" totalsRowLabel="合計" totalsRowDxfId="993"/>
    <tableColumn id="10" xr3:uid="{F54032CF-2C51-4C27-A186-DC7161991A0F}" name="総数／事業所数" totalsRowFunction="custom" totalsRowDxfId="992" dataCellStyle="桁区切り" totalsRowCellStyle="桁区切り">
      <totalsRowFormula>SUM(LTBL_23000[総数／事業所数])</totalsRowFormula>
    </tableColumn>
    <tableColumn id="11" xr3:uid="{0EBE8DFB-47B2-4411-81D9-0EDDCA8AE83B}" name="総数／構成比" dataDxfId="991"/>
    <tableColumn id="12" xr3:uid="{F8101346-3D23-4DBE-BEFB-2B6B17D4A107}" name="個人／事業所数" totalsRowFunction="sum" totalsRowDxfId="990" dataCellStyle="桁区切り" totalsRowCellStyle="桁区切り"/>
    <tableColumn id="13" xr3:uid="{44D62787-54DE-43EF-A7EF-FDF4DE6D396E}" name="個人／構成比" dataDxfId="989"/>
    <tableColumn id="14" xr3:uid="{86559C5D-98DE-4077-A3BD-5C7A8DB066C7}" name="法人／事業所数" totalsRowFunction="sum" totalsRowDxfId="988" dataCellStyle="桁区切り" totalsRowCellStyle="桁区切り"/>
    <tableColumn id="15" xr3:uid="{CC1820F1-E524-4BEA-8AC4-14BB69DFE1DB}" name="法人／構成比" dataDxfId="987"/>
    <tableColumn id="16" xr3:uid="{4E8F0C7F-51DB-4EDE-867D-10A41A7ED210}" name="法人以外の団体／事業所数" totalsRowFunction="sum" totalsRowDxfId="98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43F36E4-9E97-4E39-86BD-F4B6C503B1D6}" name="LTBL_23102" displayName="LTBL_23102" ref="B4:I20" totalsRowCount="1">
  <autoFilter ref="B4:I19" xr:uid="{E43F36E4-9E97-4E39-86BD-F4B6C503B1D6}"/>
  <tableColumns count="8">
    <tableColumn id="9" xr3:uid="{3F7B5E19-5788-4098-A2E1-75BDCC2D9045}" name="産業大分類" totalsRowLabel="合計" totalsRowDxfId="951"/>
    <tableColumn id="10" xr3:uid="{9EF44990-2C76-4B91-A50E-333B85131A44}" name="総数／事業所数" totalsRowFunction="custom" totalsRowDxfId="950" dataCellStyle="桁区切り" totalsRowCellStyle="桁区切り">
      <totalsRowFormula>SUM(LTBL_23102[総数／事業所数])</totalsRowFormula>
    </tableColumn>
    <tableColumn id="11" xr3:uid="{4DCA15EB-E17D-4B85-A4D6-C713D4D1D7DE}" name="総数／構成比" dataDxfId="949"/>
    <tableColumn id="12" xr3:uid="{FD7285B5-A478-4EF0-B316-A60FFF524DD3}" name="個人／事業所数" totalsRowFunction="sum" totalsRowDxfId="948" dataCellStyle="桁区切り" totalsRowCellStyle="桁区切り"/>
    <tableColumn id="13" xr3:uid="{EC70B38B-CEE0-418D-B71B-97EAFD4F02F5}" name="個人／構成比" dataDxfId="947"/>
    <tableColumn id="14" xr3:uid="{E915588F-827D-483D-AF6F-5D3C151F9058}" name="法人／事業所数" totalsRowFunction="sum" totalsRowDxfId="946" dataCellStyle="桁区切り" totalsRowCellStyle="桁区切り"/>
    <tableColumn id="15" xr3:uid="{9C2F4702-0A47-4E9E-9F6A-9C78B4DEE00D}" name="法人／構成比" dataDxfId="945"/>
    <tableColumn id="16" xr3:uid="{63B81F3D-9C45-4AF3-A03A-BCDEFF715999}" name="法人以外の団体／事業所数" totalsRowFunction="sum" totalsRowDxfId="944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EBC77188-44D0-4EF6-BB4E-3D3FCD9A4FDB}" name="LTBL_23216" displayName="LTBL_23216" ref="B4:I20" totalsRowCount="1">
  <autoFilter ref="B4:I19" xr:uid="{EBC77188-44D0-4EF6-BB4E-3D3FCD9A4FDB}"/>
  <tableColumns count="8">
    <tableColumn id="9" xr3:uid="{B993EE98-8426-4F6F-88DC-69520FA95010}" name="産業大分類" totalsRowLabel="合計" totalsRowDxfId="531"/>
    <tableColumn id="10" xr3:uid="{8707373F-9FAB-498F-ABB4-F8586661C95B}" name="総数／事業所数" totalsRowFunction="custom" totalsRowDxfId="530" dataCellStyle="桁区切り" totalsRowCellStyle="桁区切り">
      <totalsRowFormula>SUM(LTBL_23216[総数／事業所数])</totalsRowFormula>
    </tableColumn>
    <tableColumn id="11" xr3:uid="{C4F55A33-95F3-4DE2-9A8A-6D900E1E48A6}" name="総数／構成比" dataDxfId="529"/>
    <tableColumn id="12" xr3:uid="{1176F653-9B3C-4413-8C25-60A9C739FEC3}" name="個人／事業所数" totalsRowFunction="sum" totalsRowDxfId="528" dataCellStyle="桁区切り" totalsRowCellStyle="桁区切り"/>
    <tableColumn id="13" xr3:uid="{140315B3-F194-46A9-AADD-FA30220FAF23}" name="個人／構成比" dataDxfId="527"/>
    <tableColumn id="14" xr3:uid="{C24F01C8-31C7-42FA-ABCA-D9B69BC5BB29}" name="法人／事業所数" totalsRowFunction="sum" totalsRowDxfId="526" dataCellStyle="桁区切り" totalsRowCellStyle="桁区切り"/>
    <tableColumn id="15" xr3:uid="{89A0AC0C-94F5-48BD-A62F-3A308FB26230}" name="法人／構成比" dataDxfId="525"/>
    <tableColumn id="16" xr3:uid="{1DF2E367-3226-4B29-8376-AF28DA4F057B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F76F0CF2-A66F-4958-A109-7FDA3CE4CA90}" name="M_TABLE_23216" displayName="M_TABLE_23216" ref="B23:I43" totalsRowShown="0">
  <autoFilter ref="B23:I43" xr:uid="{F76F0CF2-A66F-4958-A109-7FDA3CE4CA90}"/>
  <tableColumns count="8">
    <tableColumn id="9" xr3:uid="{F9368B27-D189-4BAC-B9CB-FB2514B8DB23}" name="産業中分類上位２０"/>
    <tableColumn id="10" xr3:uid="{DC84BB71-783E-4C6D-8793-81E278F92EEF}" name="総数／事業所数" dataCellStyle="桁区切り"/>
    <tableColumn id="11" xr3:uid="{ECE24650-9AF8-4F75-A991-1D681936E13E}" name="総数／構成比" dataDxfId="523"/>
    <tableColumn id="12" xr3:uid="{81E942DD-2645-46C2-87E4-10C6C08848F4}" name="個人／事業所数" dataCellStyle="桁区切り"/>
    <tableColumn id="13" xr3:uid="{C6A26914-55A2-48E4-AFFD-24E7721668F3}" name="個人／構成比" dataDxfId="522"/>
    <tableColumn id="14" xr3:uid="{987529C7-173A-4795-A100-462F0E7765E6}" name="法人／事業所数" dataCellStyle="桁区切り"/>
    <tableColumn id="15" xr3:uid="{FA381D77-6E0A-421D-BE2E-4E43F52C7435}" name="法人／構成比" dataDxfId="521"/>
    <tableColumn id="16" xr3:uid="{DF5BAF01-EBDC-4298-BE1A-E0AFCA78B42B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5193A4B8-9A1A-4D95-A7E4-321388C9BDD9}" name="S_TABLE_23216" displayName="S_TABLE_23216" ref="B46:I67" totalsRowShown="0">
  <autoFilter ref="B46:I67" xr:uid="{5193A4B8-9A1A-4D95-A7E4-321388C9BDD9}"/>
  <tableColumns count="8">
    <tableColumn id="9" xr3:uid="{3E87CD9B-FE03-4042-974F-2D1F0777B232}" name="産業小分類上位２０"/>
    <tableColumn id="10" xr3:uid="{93696EBD-424A-4E4E-9A91-B2827D798DC1}" name="総数／事業所数" dataCellStyle="桁区切り"/>
    <tableColumn id="11" xr3:uid="{409296A6-67FB-40BF-8F50-CADB8857EB9E}" name="総数／構成比" dataDxfId="520"/>
    <tableColumn id="12" xr3:uid="{DA9B4DD7-32A5-4426-97F8-833B3110325C}" name="個人／事業所数" dataCellStyle="桁区切り"/>
    <tableColumn id="13" xr3:uid="{5A0BA535-7B74-4B71-A748-EF692014D16D}" name="個人／構成比" dataDxfId="519"/>
    <tableColumn id="14" xr3:uid="{06B374F9-FC7C-45ED-BC58-AAAF5C42D9C1}" name="法人／事業所数" dataCellStyle="桁区切り"/>
    <tableColumn id="15" xr3:uid="{356FAA1C-C7E8-44F4-8541-0B585C35DA7B}" name="法人／構成比" dataDxfId="518"/>
    <tableColumn id="16" xr3:uid="{175C9A20-43C7-44C2-B4A7-E1681F27D89D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5D38BECB-7C8C-46F5-9CAE-8C6596F79A5B}" name="LTBL_23217" displayName="LTBL_23217" ref="B4:I20" totalsRowCount="1">
  <autoFilter ref="B4:I19" xr:uid="{5D38BECB-7C8C-46F5-9CAE-8C6596F79A5B}"/>
  <tableColumns count="8">
    <tableColumn id="9" xr3:uid="{0AF10089-57D3-4702-ACBE-F4B0C6A1B5FD}" name="産業大分類" totalsRowLabel="合計" totalsRowDxfId="517"/>
    <tableColumn id="10" xr3:uid="{4EA8D69F-1262-412C-8B88-572BD5E6B173}" name="総数／事業所数" totalsRowFunction="custom" totalsRowDxfId="516" dataCellStyle="桁区切り" totalsRowCellStyle="桁区切り">
      <totalsRowFormula>SUM(LTBL_23217[総数／事業所数])</totalsRowFormula>
    </tableColumn>
    <tableColumn id="11" xr3:uid="{F2635621-0521-45A6-BE1A-DBC31BCA505B}" name="総数／構成比" dataDxfId="515"/>
    <tableColumn id="12" xr3:uid="{F73DD307-EDDD-45DF-A5A6-693ACCFF9E01}" name="個人／事業所数" totalsRowFunction="sum" totalsRowDxfId="514" dataCellStyle="桁区切り" totalsRowCellStyle="桁区切り"/>
    <tableColumn id="13" xr3:uid="{9BCE2857-623F-4763-9F42-067339E2C9F8}" name="個人／構成比" dataDxfId="513"/>
    <tableColumn id="14" xr3:uid="{23F8CE09-D2BC-433D-9986-52D9F8650BFE}" name="法人／事業所数" totalsRowFunction="sum" totalsRowDxfId="512" dataCellStyle="桁区切り" totalsRowCellStyle="桁区切り"/>
    <tableColumn id="15" xr3:uid="{D8EC5F57-7ACB-42D5-9D0E-E90932A5E34C}" name="法人／構成比" dataDxfId="511"/>
    <tableColumn id="16" xr3:uid="{7E843169-C949-42E3-80D5-18DD9CE29C9D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F29B7996-2273-4B48-B320-EBB99639BB17}" name="M_TABLE_23217" displayName="M_TABLE_23217" ref="B23:I43" totalsRowShown="0">
  <autoFilter ref="B23:I43" xr:uid="{F29B7996-2273-4B48-B320-EBB99639BB17}"/>
  <tableColumns count="8">
    <tableColumn id="9" xr3:uid="{D132AF78-93E6-44EC-B8E1-B6D285BFE053}" name="産業中分類上位２０"/>
    <tableColumn id="10" xr3:uid="{BB6F7641-38FA-4FA0-A9AC-D1537FF1FF3D}" name="総数／事業所数" dataCellStyle="桁区切り"/>
    <tableColumn id="11" xr3:uid="{A7312C05-84E8-4579-82C8-D290A5B489AA}" name="総数／構成比" dataDxfId="509"/>
    <tableColumn id="12" xr3:uid="{FC202FB7-5E7A-4FBA-B464-882D9B7B4B21}" name="個人／事業所数" dataCellStyle="桁区切り"/>
    <tableColumn id="13" xr3:uid="{DF6776B3-64B6-433F-985B-88E50E9F18A7}" name="個人／構成比" dataDxfId="508"/>
    <tableColumn id="14" xr3:uid="{0A9EEE0F-0A3B-422B-BE4D-4D590DB02821}" name="法人／事業所数" dataCellStyle="桁区切り"/>
    <tableColumn id="15" xr3:uid="{5CD9FDE3-1BA5-4058-AED0-8FA3E0B53BA6}" name="法人／構成比" dataDxfId="507"/>
    <tableColumn id="16" xr3:uid="{4C19EF25-1B77-45F0-B078-D5FCD778AB30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EA06D936-0DC9-4E5E-8872-5D360FB3D1F6}" name="S_TABLE_23217" displayName="S_TABLE_23217" ref="B46:I66" totalsRowShown="0">
  <autoFilter ref="B46:I66" xr:uid="{EA06D936-0DC9-4E5E-8872-5D360FB3D1F6}"/>
  <tableColumns count="8">
    <tableColumn id="9" xr3:uid="{14C72C13-FAC1-4392-A5E6-11DE25712AD5}" name="産業小分類上位２０"/>
    <tableColumn id="10" xr3:uid="{4274FDB9-7C01-460A-8810-766CFA99A490}" name="総数／事業所数" dataCellStyle="桁区切り"/>
    <tableColumn id="11" xr3:uid="{8F200724-A20D-4745-BB21-C3A180D73D1B}" name="総数／構成比" dataDxfId="506"/>
    <tableColumn id="12" xr3:uid="{F261F444-2D95-469E-AE37-CA406833E597}" name="個人／事業所数" dataCellStyle="桁区切り"/>
    <tableColumn id="13" xr3:uid="{662B8A73-3C4E-4E40-8F70-C08DC56B7093}" name="個人／構成比" dataDxfId="505"/>
    <tableColumn id="14" xr3:uid="{1E7DB3AA-A5F0-44DE-95F2-CFBE30BCECED}" name="法人／事業所数" dataCellStyle="桁区切り"/>
    <tableColumn id="15" xr3:uid="{9725AE5A-8477-4D18-A3DD-60259B3D3F1B}" name="法人／構成比" dataDxfId="504"/>
    <tableColumn id="16" xr3:uid="{27EF10AB-FFFD-4271-8BB5-605F54251848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2A3061C9-67C3-450F-8B89-E8088A3C70AE}" name="LTBL_23219" displayName="LTBL_23219" ref="B4:I20" totalsRowCount="1">
  <autoFilter ref="B4:I19" xr:uid="{2A3061C9-67C3-450F-8B89-E8088A3C70AE}"/>
  <tableColumns count="8">
    <tableColumn id="9" xr3:uid="{AA163BC9-AAD8-41B2-8012-47C481CB0445}" name="産業大分類" totalsRowLabel="合計" totalsRowDxfId="503"/>
    <tableColumn id="10" xr3:uid="{FB94F40F-4A13-4861-A4A7-5ED1E90BF448}" name="総数／事業所数" totalsRowFunction="custom" totalsRowDxfId="502" dataCellStyle="桁区切り" totalsRowCellStyle="桁区切り">
      <totalsRowFormula>SUM(LTBL_23219[総数／事業所数])</totalsRowFormula>
    </tableColumn>
    <tableColumn id="11" xr3:uid="{B592D8F8-860D-443D-9584-FDC8DBE14F7F}" name="総数／構成比" dataDxfId="501"/>
    <tableColumn id="12" xr3:uid="{0E2AE5DC-738F-413C-8686-72D34A33E1EC}" name="個人／事業所数" totalsRowFunction="sum" totalsRowDxfId="500" dataCellStyle="桁区切り" totalsRowCellStyle="桁区切り"/>
    <tableColumn id="13" xr3:uid="{9A5C4B0E-ECF0-439D-801F-3D854FF0F346}" name="個人／構成比" dataDxfId="499"/>
    <tableColumn id="14" xr3:uid="{F2510B22-0643-4BB9-9015-E0A964FCEF3C}" name="法人／事業所数" totalsRowFunction="sum" totalsRowDxfId="498" dataCellStyle="桁区切り" totalsRowCellStyle="桁区切り"/>
    <tableColumn id="15" xr3:uid="{CB47E64B-1A78-44B2-84B9-017C2AFE8561}" name="法人／構成比" dataDxfId="497"/>
    <tableColumn id="16" xr3:uid="{5AA1F95B-FCDC-40A6-9E5E-73E28A2854F2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222A3E14-EEA9-4384-AE7F-687811A06461}" name="M_TABLE_23219" displayName="M_TABLE_23219" ref="B23:I43" totalsRowShown="0">
  <autoFilter ref="B23:I43" xr:uid="{222A3E14-EEA9-4384-AE7F-687811A06461}"/>
  <tableColumns count="8">
    <tableColumn id="9" xr3:uid="{D8EE4AF0-31E4-47D8-881E-3B3B59FE45E5}" name="産業中分類上位２０"/>
    <tableColumn id="10" xr3:uid="{22E40982-6BC4-437E-925A-6A83294B4CB9}" name="総数／事業所数" dataCellStyle="桁区切り"/>
    <tableColumn id="11" xr3:uid="{F4CF0EA7-1110-4995-AA69-68F0E227EA7C}" name="総数／構成比" dataDxfId="495"/>
    <tableColumn id="12" xr3:uid="{9AAB3373-6C45-43DB-A0D8-CA99FC963C76}" name="個人／事業所数" dataCellStyle="桁区切り"/>
    <tableColumn id="13" xr3:uid="{B0A7FC96-6668-4BAA-A82F-E34489DBA26A}" name="個人／構成比" dataDxfId="494"/>
    <tableColumn id="14" xr3:uid="{6D255E4C-BC53-407D-AD28-EF551AF0E0FA}" name="法人／事業所数" dataCellStyle="桁区切り"/>
    <tableColumn id="15" xr3:uid="{BC8FE61D-6B03-4E17-9E94-735C42B0979C}" name="法人／構成比" dataDxfId="493"/>
    <tableColumn id="16" xr3:uid="{CA1F427B-1006-4032-8D43-B078AB029CE9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8624FD2D-EAA2-4747-990B-C3CF52006B85}" name="S_TABLE_23219" displayName="S_TABLE_23219" ref="B46:I66" totalsRowShown="0">
  <autoFilter ref="B46:I66" xr:uid="{8624FD2D-EAA2-4747-990B-C3CF52006B85}"/>
  <tableColumns count="8">
    <tableColumn id="9" xr3:uid="{0F509E7A-FAA1-4EE2-A419-9A4865CA80B3}" name="産業小分類上位２０"/>
    <tableColumn id="10" xr3:uid="{F0617879-71B6-4573-B295-D49CB59B3A4E}" name="総数／事業所数" dataCellStyle="桁区切り"/>
    <tableColumn id="11" xr3:uid="{6E852326-38D0-49D9-AAAC-C5231BC86434}" name="総数／構成比" dataDxfId="492"/>
    <tableColumn id="12" xr3:uid="{BBE7A970-0D80-4E69-A9A6-544E371FFFFD}" name="個人／事業所数" dataCellStyle="桁区切り"/>
    <tableColumn id="13" xr3:uid="{0F9AB802-83ED-4D20-ACB0-821AB86A1CA5}" name="個人／構成比" dataDxfId="491"/>
    <tableColumn id="14" xr3:uid="{FE683D68-72C4-45E9-9884-E04CB6512E91}" name="法人／事業所数" dataCellStyle="桁区切り"/>
    <tableColumn id="15" xr3:uid="{B8755E65-DF38-4FCD-A79F-3EDB0758FAA2}" name="法人／構成比" dataDxfId="490"/>
    <tableColumn id="16" xr3:uid="{A22467EA-7C36-41A9-A276-55E7CA8A8840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CFDD5FAD-1F59-4623-8078-15E9859C9F0D}" name="LTBL_23220" displayName="LTBL_23220" ref="B4:I20" totalsRowCount="1">
  <autoFilter ref="B4:I19" xr:uid="{CFDD5FAD-1F59-4623-8078-15E9859C9F0D}"/>
  <tableColumns count="8">
    <tableColumn id="9" xr3:uid="{1043785D-8AC3-4C83-878C-4D09AD99A632}" name="産業大分類" totalsRowLabel="合計" totalsRowDxfId="489"/>
    <tableColumn id="10" xr3:uid="{86D5CFEF-1D07-4356-8B7B-EAEEFDE84E5C}" name="総数／事業所数" totalsRowFunction="custom" totalsRowDxfId="488" dataCellStyle="桁区切り" totalsRowCellStyle="桁区切り">
      <totalsRowFormula>SUM(LTBL_23220[総数／事業所数])</totalsRowFormula>
    </tableColumn>
    <tableColumn id="11" xr3:uid="{60726DC5-D042-4EAA-A4AA-7BB2005B5872}" name="総数／構成比" dataDxfId="487"/>
    <tableColumn id="12" xr3:uid="{2B385A61-604F-404E-9524-0775B63905C2}" name="個人／事業所数" totalsRowFunction="sum" totalsRowDxfId="486" dataCellStyle="桁区切り" totalsRowCellStyle="桁区切り"/>
    <tableColumn id="13" xr3:uid="{29B9BCCF-CE2C-4FD3-AE78-99A58A2D7D65}" name="個人／構成比" dataDxfId="485"/>
    <tableColumn id="14" xr3:uid="{A704B227-2D23-4324-B8BF-65F9CFD0AA1B}" name="法人／事業所数" totalsRowFunction="sum" totalsRowDxfId="484" dataCellStyle="桁区切り" totalsRowCellStyle="桁区切り"/>
    <tableColumn id="15" xr3:uid="{2C3E07C6-BD64-4FFA-8465-44CB73AA7212}" name="法人／構成比" dataDxfId="483"/>
    <tableColumn id="16" xr3:uid="{780F2DFB-798C-499B-BFA0-A8B0A6D7318D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478003E-ED5B-43FC-AA1D-390A12E3D568}" name="M_TABLE_23102" displayName="M_TABLE_23102" ref="B23:I43" totalsRowShown="0">
  <autoFilter ref="B23:I43" xr:uid="{5478003E-ED5B-43FC-AA1D-390A12E3D568}"/>
  <tableColumns count="8">
    <tableColumn id="9" xr3:uid="{51075586-F295-43BC-A9F0-57B7EAC3E7D9}" name="産業中分類上位２０"/>
    <tableColumn id="10" xr3:uid="{2B77177D-E6D8-4BF3-BD2C-7A2C9E4C8BD4}" name="総数／事業所数" dataCellStyle="桁区切り"/>
    <tableColumn id="11" xr3:uid="{DEC0AB69-0DF7-406F-A624-E81D03D92DCE}" name="総数／構成比" dataDxfId="943"/>
    <tableColumn id="12" xr3:uid="{53645F91-9A1C-46FB-980B-22F22FC864A7}" name="個人／事業所数" dataCellStyle="桁区切り"/>
    <tableColumn id="13" xr3:uid="{CB217B87-DA35-43B4-A1F8-1EB518744707}" name="個人／構成比" dataDxfId="942"/>
    <tableColumn id="14" xr3:uid="{787BFB32-A2BD-47A7-A88A-974E9ADBA147}" name="法人／事業所数" dataCellStyle="桁区切り"/>
    <tableColumn id="15" xr3:uid="{2510FFC9-048C-4623-AFF0-4646C4FB6CBE}" name="法人／構成比" dataDxfId="941"/>
    <tableColumn id="16" xr3:uid="{B37508E9-9307-4553-B3F1-BDEDF2E3E654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9177765B-F5E8-4054-863E-3148A53FEA34}" name="M_TABLE_23220" displayName="M_TABLE_23220" ref="B23:I43" totalsRowShown="0">
  <autoFilter ref="B23:I43" xr:uid="{9177765B-F5E8-4054-863E-3148A53FEA34}"/>
  <tableColumns count="8">
    <tableColumn id="9" xr3:uid="{9579B385-C74C-4F78-AE01-E5C9BCF3406A}" name="産業中分類上位２０"/>
    <tableColumn id="10" xr3:uid="{56AE6C1C-3A5D-4139-B01E-A9492817ECDF}" name="総数／事業所数" dataCellStyle="桁区切り"/>
    <tableColumn id="11" xr3:uid="{00869F85-7657-4D6C-97A0-B60D8D0F4D2B}" name="総数／構成比" dataDxfId="481"/>
    <tableColumn id="12" xr3:uid="{F4EE4A7C-D450-4D15-B8C9-72E06745256D}" name="個人／事業所数" dataCellStyle="桁区切り"/>
    <tableColumn id="13" xr3:uid="{2462D906-F20C-4C02-9682-219C5F1AB66A}" name="個人／構成比" dataDxfId="480"/>
    <tableColumn id="14" xr3:uid="{9AFBADEF-48D9-440E-BFF8-EF7DBE491AAF}" name="法人／事業所数" dataCellStyle="桁区切り"/>
    <tableColumn id="15" xr3:uid="{D13DC827-121C-4689-A266-A9EAD7802D00}" name="法人／構成比" dataDxfId="479"/>
    <tableColumn id="16" xr3:uid="{4888B52C-925E-4266-B423-841B355761CB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1CF0BDF9-9E4D-4045-B419-96C2A0981ED4}" name="S_TABLE_23220" displayName="S_TABLE_23220" ref="B46:I66" totalsRowShown="0">
  <autoFilter ref="B46:I66" xr:uid="{1CF0BDF9-9E4D-4045-B419-96C2A0981ED4}"/>
  <tableColumns count="8">
    <tableColumn id="9" xr3:uid="{08FE5564-0D2E-420B-9B9A-A3DB7023D9BB}" name="産業小分類上位２０"/>
    <tableColumn id="10" xr3:uid="{932F0938-43A3-448C-B2DB-48EE6021D745}" name="総数／事業所数" dataCellStyle="桁区切り"/>
    <tableColumn id="11" xr3:uid="{1CBEC846-86AB-411B-A02C-7279AFC22B50}" name="総数／構成比" dataDxfId="478"/>
    <tableColumn id="12" xr3:uid="{763DB868-5F42-44C9-82C6-55EBE411ACCC}" name="個人／事業所数" dataCellStyle="桁区切り"/>
    <tableColumn id="13" xr3:uid="{FE37ED36-2887-4CD6-83A2-24A59B220FB1}" name="個人／構成比" dataDxfId="477"/>
    <tableColumn id="14" xr3:uid="{722C93C0-B850-4856-A1D8-1383FB854D80}" name="法人／事業所数" dataCellStyle="桁区切り"/>
    <tableColumn id="15" xr3:uid="{8DA870EE-B2AD-4594-A472-C4D98793C0BE}" name="法人／構成比" dataDxfId="476"/>
    <tableColumn id="16" xr3:uid="{D5E45B0B-68CC-4FAE-9E00-5290D3B5F3C6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1978D70C-5941-4680-B950-17E928263807}" name="LTBL_23221" displayName="LTBL_23221" ref="B4:I20" totalsRowCount="1">
  <autoFilter ref="B4:I19" xr:uid="{1978D70C-5941-4680-B950-17E928263807}"/>
  <tableColumns count="8">
    <tableColumn id="9" xr3:uid="{394D082F-AB26-44BD-8501-4682DA222BB6}" name="産業大分類" totalsRowLabel="合計" totalsRowDxfId="475"/>
    <tableColumn id="10" xr3:uid="{8D7D29CC-8289-451A-AE73-B809AC93467C}" name="総数／事業所数" totalsRowFunction="custom" totalsRowDxfId="474" dataCellStyle="桁区切り" totalsRowCellStyle="桁区切り">
      <totalsRowFormula>SUM(LTBL_23221[総数／事業所数])</totalsRowFormula>
    </tableColumn>
    <tableColumn id="11" xr3:uid="{562C5BF5-6248-48F7-9405-62F7AB18CC96}" name="総数／構成比" dataDxfId="473"/>
    <tableColumn id="12" xr3:uid="{E3D428B8-0C88-42A2-8790-A1295C30C441}" name="個人／事業所数" totalsRowFunction="sum" totalsRowDxfId="472" dataCellStyle="桁区切り" totalsRowCellStyle="桁区切り"/>
    <tableColumn id="13" xr3:uid="{2A19D2F9-48CA-452C-B76A-1287698A33E1}" name="個人／構成比" dataDxfId="471"/>
    <tableColumn id="14" xr3:uid="{FE8C8AFD-90FE-4898-926A-F3491A79DE4E}" name="法人／事業所数" totalsRowFunction="sum" totalsRowDxfId="470" dataCellStyle="桁区切り" totalsRowCellStyle="桁区切り"/>
    <tableColumn id="15" xr3:uid="{C963A39B-27B1-4B55-8249-6633FAF9E364}" name="法人／構成比" dataDxfId="469"/>
    <tableColumn id="16" xr3:uid="{A29E7053-C066-4829-9717-09A846E1CC98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86940CA9-89B4-49E7-9714-006D2ED51F86}" name="M_TABLE_23221" displayName="M_TABLE_23221" ref="B23:I43" totalsRowShown="0">
  <autoFilter ref="B23:I43" xr:uid="{86940CA9-89B4-49E7-9714-006D2ED51F86}"/>
  <tableColumns count="8">
    <tableColumn id="9" xr3:uid="{466B7532-39EC-4FA4-83BF-D5FC1A374ECC}" name="産業中分類上位２０"/>
    <tableColumn id="10" xr3:uid="{26ED1A10-E115-46A0-80B2-B44B3E305168}" name="総数／事業所数" dataCellStyle="桁区切り"/>
    <tableColumn id="11" xr3:uid="{F22D43BB-0745-4E69-A432-0107BA78F9B7}" name="総数／構成比" dataDxfId="467"/>
    <tableColumn id="12" xr3:uid="{52086FBF-EFD1-4300-A265-1761900EB107}" name="個人／事業所数" dataCellStyle="桁区切り"/>
    <tableColumn id="13" xr3:uid="{DFEE4935-E59F-42E1-9A89-04196981C020}" name="個人／構成比" dataDxfId="466"/>
    <tableColumn id="14" xr3:uid="{C831E7F6-69B5-44A6-8AFC-F450FC0FC8DA}" name="法人／事業所数" dataCellStyle="桁区切り"/>
    <tableColumn id="15" xr3:uid="{9F342C0C-B185-4264-A566-3B47A21C08E0}" name="法人／構成比" dataDxfId="465"/>
    <tableColumn id="16" xr3:uid="{9E1E6CF8-2B9C-4407-BE6F-3F029C0606DB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2997CB1-1A40-49FF-B23F-0A3C416BE9B3}" name="S_TABLE_23221" displayName="S_TABLE_23221" ref="B46:I67" totalsRowShown="0">
  <autoFilter ref="B46:I67" xr:uid="{52997CB1-1A40-49FF-B23F-0A3C416BE9B3}"/>
  <tableColumns count="8">
    <tableColumn id="9" xr3:uid="{C0F5E7AF-56AD-4400-BF6B-2188E283193B}" name="産業小分類上位２０"/>
    <tableColumn id="10" xr3:uid="{7AEEA1BC-6AB7-48E3-BDAE-8ABC22497ADF}" name="総数／事業所数" dataCellStyle="桁区切り"/>
    <tableColumn id="11" xr3:uid="{7EBFE10E-D05F-4B6B-8AD7-AC32F49BD39A}" name="総数／構成比" dataDxfId="464"/>
    <tableColumn id="12" xr3:uid="{D77E8C2F-C7D4-4D9E-928F-4A20D03161CE}" name="個人／事業所数" dataCellStyle="桁区切り"/>
    <tableColumn id="13" xr3:uid="{6474EAFC-A1DF-48D0-BB8C-5B92B07BB75B}" name="個人／構成比" dataDxfId="463"/>
    <tableColumn id="14" xr3:uid="{0B8019FD-EB3B-483F-8F98-8B527A1F7D5A}" name="法人／事業所数" dataCellStyle="桁区切り"/>
    <tableColumn id="15" xr3:uid="{A0D6DB4C-2EA6-4FB2-946A-20F1C41D9CDF}" name="法人／構成比" dataDxfId="462"/>
    <tableColumn id="16" xr3:uid="{F7740776-D00B-456E-8F5C-1DD9B98CFED9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C47453E7-3CBC-4F63-BCB7-6E7A51BDC8A0}" name="LTBL_23222" displayName="LTBL_23222" ref="B4:I20" totalsRowCount="1">
  <autoFilter ref="B4:I19" xr:uid="{C47453E7-3CBC-4F63-BCB7-6E7A51BDC8A0}"/>
  <tableColumns count="8">
    <tableColumn id="9" xr3:uid="{0CA16995-828B-498E-85EB-5B22D7676483}" name="産業大分類" totalsRowLabel="合計" totalsRowDxfId="461"/>
    <tableColumn id="10" xr3:uid="{F62CDCE0-658A-4F24-9E7C-2738A7B585BD}" name="総数／事業所数" totalsRowFunction="custom" totalsRowDxfId="460" dataCellStyle="桁区切り" totalsRowCellStyle="桁区切り">
      <totalsRowFormula>SUM(LTBL_23222[総数／事業所数])</totalsRowFormula>
    </tableColumn>
    <tableColumn id="11" xr3:uid="{9C2DC64D-D803-4077-9DCA-D7F3FBD28266}" name="総数／構成比" dataDxfId="459"/>
    <tableColumn id="12" xr3:uid="{E51DE225-BCB7-4C61-B51B-B4383992F3A8}" name="個人／事業所数" totalsRowFunction="sum" totalsRowDxfId="458" dataCellStyle="桁区切り" totalsRowCellStyle="桁区切り"/>
    <tableColumn id="13" xr3:uid="{E0EB9057-D4C9-4EE1-87EA-38531E4598F2}" name="個人／構成比" dataDxfId="457"/>
    <tableColumn id="14" xr3:uid="{653A04B9-9ECF-410B-88DB-F4BAED08C073}" name="法人／事業所数" totalsRowFunction="sum" totalsRowDxfId="456" dataCellStyle="桁区切り" totalsRowCellStyle="桁区切り"/>
    <tableColumn id="15" xr3:uid="{4D99F24B-CD7B-4556-9990-60578E1F626D}" name="法人／構成比" dataDxfId="455"/>
    <tableColumn id="16" xr3:uid="{150C9531-36F7-4417-9AB7-51173298DAAF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1164FBC8-5149-423D-A682-A677DA78AEE1}" name="M_TABLE_23222" displayName="M_TABLE_23222" ref="B23:I43" totalsRowShown="0">
  <autoFilter ref="B23:I43" xr:uid="{1164FBC8-5149-423D-A682-A677DA78AEE1}"/>
  <tableColumns count="8">
    <tableColumn id="9" xr3:uid="{F90AEF30-AE12-4B47-B9E8-102CF96DD556}" name="産業中分類上位２０"/>
    <tableColumn id="10" xr3:uid="{EEA070AD-5BDA-4D00-999C-04F212C53085}" name="総数／事業所数" dataCellStyle="桁区切り"/>
    <tableColumn id="11" xr3:uid="{5EAF96A0-D79A-498A-9FCD-6AB2C12073A6}" name="総数／構成比" dataDxfId="453"/>
    <tableColumn id="12" xr3:uid="{515CC637-D2FF-4E74-A10C-3B2B156C400A}" name="個人／事業所数" dataCellStyle="桁区切り"/>
    <tableColumn id="13" xr3:uid="{D126ED2C-4CFE-4359-91B5-80D634A901FC}" name="個人／構成比" dataDxfId="452"/>
    <tableColumn id="14" xr3:uid="{FDC78938-CA26-45F0-B87F-B90B504E7BA0}" name="法人／事業所数" dataCellStyle="桁区切り"/>
    <tableColumn id="15" xr3:uid="{2D9D975F-3FBE-4BF9-8EE5-BFE5160C5EEE}" name="法人／構成比" dataDxfId="451"/>
    <tableColumn id="16" xr3:uid="{8539A80E-5AC4-4DCA-BA1F-790A49240464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CEEED3E4-0326-451D-AE77-D0F39C885795}" name="S_TABLE_23222" displayName="S_TABLE_23222" ref="B46:I66" totalsRowShown="0">
  <autoFilter ref="B46:I66" xr:uid="{CEEED3E4-0326-451D-AE77-D0F39C885795}"/>
  <tableColumns count="8">
    <tableColumn id="9" xr3:uid="{6509858B-7E6B-432F-A8E8-C3366BCCE02B}" name="産業小分類上位２０"/>
    <tableColumn id="10" xr3:uid="{AA5A5F79-FD0B-48ED-BD72-44FC9EA075F2}" name="総数／事業所数" dataCellStyle="桁区切り"/>
    <tableColumn id="11" xr3:uid="{2C244FAA-3960-4383-8B33-3F73372D51ED}" name="総数／構成比" dataDxfId="450"/>
    <tableColumn id="12" xr3:uid="{3C4355D3-8A41-4B3F-BB46-183D3A997DB9}" name="個人／事業所数" dataCellStyle="桁区切り"/>
    <tableColumn id="13" xr3:uid="{752F561D-5EED-471F-9E02-FA92ACF10D6F}" name="個人／構成比" dataDxfId="449"/>
    <tableColumn id="14" xr3:uid="{6B3B010B-ED1F-404C-94AA-69F0D0115844}" name="法人／事業所数" dataCellStyle="桁区切り"/>
    <tableColumn id="15" xr3:uid="{071EB58E-C616-4AE7-A80F-14DDC2C91F48}" name="法人／構成比" dataDxfId="448"/>
    <tableColumn id="16" xr3:uid="{ABEF7CE5-BFA8-4D01-8D03-D3CC9ED9185D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9185452D-DCD5-48B7-BD4A-7BECB042E43A}" name="LTBL_23223" displayName="LTBL_23223" ref="B4:I20" totalsRowCount="1">
  <autoFilter ref="B4:I19" xr:uid="{9185452D-DCD5-48B7-BD4A-7BECB042E43A}"/>
  <tableColumns count="8">
    <tableColumn id="9" xr3:uid="{DEE4903D-D260-4A54-8E12-807100BDD59A}" name="産業大分類" totalsRowLabel="合計" totalsRowDxfId="447"/>
    <tableColumn id="10" xr3:uid="{5E44FCF1-7FB3-464E-9131-052B01A1F0E2}" name="総数／事業所数" totalsRowFunction="custom" totalsRowDxfId="446" dataCellStyle="桁区切り" totalsRowCellStyle="桁区切り">
      <totalsRowFormula>SUM(LTBL_23223[総数／事業所数])</totalsRowFormula>
    </tableColumn>
    <tableColumn id="11" xr3:uid="{17E2DEFC-A70D-4851-9611-B283251C1E16}" name="総数／構成比" dataDxfId="445"/>
    <tableColumn id="12" xr3:uid="{257DB368-BFE6-4863-A803-91F2C8EDE81D}" name="個人／事業所数" totalsRowFunction="sum" totalsRowDxfId="444" dataCellStyle="桁区切り" totalsRowCellStyle="桁区切り"/>
    <tableColumn id="13" xr3:uid="{D3CA3EC8-D514-4275-91C2-F91724E80BDF}" name="個人／構成比" dataDxfId="443"/>
    <tableColumn id="14" xr3:uid="{C88AB0D0-209C-4AB2-B414-CDCE62873108}" name="法人／事業所数" totalsRowFunction="sum" totalsRowDxfId="442" dataCellStyle="桁区切り" totalsRowCellStyle="桁区切り"/>
    <tableColumn id="15" xr3:uid="{FA73268D-61C9-438D-8A55-4D2DAF47BC74}" name="法人／構成比" dataDxfId="441"/>
    <tableColumn id="16" xr3:uid="{FC620A9D-2A93-42CA-8741-F3B8BEA4D0DA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14F1989-4671-45E7-9CEE-60B18D29D1FB}" name="M_TABLE_23223" displayName="M_TABLE_23223" ref="B23:I44" totalsRowShown="0">
  <autoFilter ref="B23:I44" xr:uid="{314F1989-4671-45E7-9CEE-60B18D29D1FB}"/>
  <tableColumns count="8">
    <tableColumn id="9" xr3:uid="{9C96F888-10DA-455B-A145-3E42CDE66D21}" name="産業中分類上位２０"/>
    <tableColumn id="10" xr3:uid="{D6E24448-0675-49F5-83D8-B8E39167B0CE}" name="総数／事業所数" dataCellStyle="桁区切り"/>
    <tableColumn id="11" xr3:uid="{9C27109D-B0D0-48FA-A3D3-1E26719D7744}" name="総数／構成比" dataDxfId="439"/>
    <tableColumn id="12" xr3:uid="{EFFAF668-E392-4FB5-A6A6-3A02291EF0C7}" name="個人／事業所数" dataCellStyle="桁区切り"/>
    <tableColumn id="13" xr3:uid="{3CDC1964-7A20-4649-AA48-E8AEB85DAE7A}" name="個人／構成比" dataDxfId="438"/>
    <tableColumn id="14" xr3:uid="{95C2B583-12A9-454C-8808-2AE9B738B9DC}" name="法人／事業所数" dataCellStyle="桁区切り"/>
    <tableColumn id="15" xr3:uid="{492DDF13-9CCE-4B0D-9758-43E19F8FD152}" name="法人／構成比" dataDxfId="437"/>
    <tableColumn id="16" xr3:uid="{BABBBFD2-AFC1-477F-9CDB-FA9D753A5B5F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78ECBF0-3FD7-4E76-AF0D-38EEB94A9CAC}" name="S_TABLE_23102" displayName="S_TABLE_23102" ref="B46:I67" totalsRowShown="0">
  <autoFilter ref="B46:I67" xr:uid="{978ECBF0-3FD7-4E76-AF0D-38EEB94A9CAC}"/>
  <tableColumns count="8">
    <tableColumn id="9" xr3:uid="{30E10ACB-EB8D-478D-9C39-F22A61942F66}" name="産業小分類上位２０"/>
    <tableColumn id="10" xr3:uid="{761F6906-7015-4F27-B293-032322873607}" name="総数／事業所数" dataCellStyle="桁区切り"/>
    <tableColumn id="11" xr3:uid="{D96F2669-11A8-4FD6-BF90-DF6ED0220D96}" name="総数／構成比" dataDxfId="940"/>
    <tableColumn id="12" xr3:uid="{88182008-F94F-46D6-B708-9B2E387C6C83}" name="個人／事業所数" dataCellStyle="桁区切り"/>
    <tableColumn id="13" xr3:uid="{A0F80FC4-0A24-4AD1-A6A7-D8263C7DA901}" name="個人／構成比" dataDxfId="939"/>
    <tableColumn id="14" xr3:uid="{CC5251E6-DCCD-4F74-A06C-13B60921EA62}" name="法人／事業所数" dataCellStyle="桁区切り"/>
    <tableColumn id="15" xr3:uid="{573292D8-F836-45B8-9265-CD5829584E09}" name="法人／構成比" dataDxfId="938"/>
    <tableColumn id="16" xr3:uid="{E6426484-FD1C-4EAC-A288-C84587B88D07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D01430A5-00F1-4A29-AD35-383A5DE9E5DF}" name="S_TABLE_23223" displayName="S_TABLE_23223" ref="B47:I68" totalsRowShown="0">
  <autoFilter ref="B47:I68" xr:uid="{D01430A5-00F1-4A29-AD35-383A5DE9E5DF}"/>
  <tableColumns count="8">
    <tableColumn id="9" xr3:uid="{C6BB3510-B0CE-470C-9DAB-9E87587B4DC3}" name="産業小分類上位２０"/>
    <tableColumn id="10" xr3:uid="{55533768-0183-4CBF-85F2-01107323FCAB}" name="総数／事業所数" dataCellStyle="桁区切り"/>
    <tableColumn id="11" xr3:uid="{7FBB22A0-8555-4ABA-BFA8-1F4829616EDE}" name="総数／構成比" dataDxfId="436"/>
    <tableColumn id="12" xr3:uid="{50B175D3-E191-4CE8-BC76-89F772975C20}" name="個人／事業所数" dataCellStyle="桁区切り"/>
    <tableColumn id="13" xr3:uid="{4161B95B-F024-4A93-B43F-C631CE6BF494}" name="個人／構成比" dataDxfId="435"/>
    <tableColumn id="14" xr3:uid="{5D59E4D4-6E93-4BBD-AFD1-AF14AC8A5CD3}" name="法人／事業所数" dataCellStyle="桁区切り"/>
    <tableColumn id="15" xr3:uid="{9D4B6DCE-0C11-4FDC-86F5-403C87DC7578}" name="法人／構成比" dataDxfId="434"/>
    <tableColumn id="16" xr3:uid="{0D22E927-5488-4DFC-9C0E-FFA19B652E2C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33F43697-88E2-45AE-94DD-02DDEE436C00}" name="LTBL_23224" displayName="LTBL_23224" ref="B4:I20" totalsRowCount="1">
  <autoFilter ref="B4:I19" xr:uid="{33F43697-88E2-45AE-94DD-02DDEE436C00}"/>
  <tableColumns count="8">
    <tableColumn id="9" xr3:uid="{0EB12AD0-6E95-424D-8AE7-91DAE9BD6F10}" name="産業大分類" totalsRowLabel="合計" totalsRowDxfId="433"/>
    <tableColumn id="10" xr3:uid="{DDA691D2-98E9-4E0C-86B8-10C192DC3480}" name="総数／事業所数" totalsRowFunction="custom" totalsRowDxfId="432" dataCellStyle="桁区切り" totalsRowCellStyle="桁区切り">
      <totalsRowFormula>SUM(LTBL_23224[総数／事業所数])</totalsRowFormula>
    </tableColumn>
    <tableColumn id="11" xr3:uid="{320C77AD-3EC5-4734-BDCD-DF4EFFBFE782}" name="総数／構成比" dataDxfId="431"/>
    <tableColumn id="12" xr3:uid="{3F926E9E-E1C4-4A37-AF1F-7CF592F00EC6}" name="個人／事業所数" totalsRowFunction="sum" totalsRowDxfId="430" dataCellStyle="桁区切り" totalsRowCellStyle="桁区切り"/>
    <tableColumn id="13" xr3:uid="{6D7AA0B2-22AA-4802-A3F3-2F632C106D68}" name="個人／構成比" dataDxfId="429"/>
    <tableColumn id="14" xr3:uid="{E53702CF-C2FC-47B5-8A3E-56323E05A6FA}" name="法人／事業所数" totalsRowFunction="sum" totalsRowDxfId="428" dataCellStyle="桁区切り" totalsRowCellStyle="桁区切り"/>
    <tableColumn id="15" xr3:uid="{E153F58B-6F52-4230-A3E5-62B180CA54AF}" name="法人／構成比" dataDxfId="427"/>
    <tableColumn id="16" xr3:uid="{9C0C8E93-1893-4081-9437-8AE4BF5666C5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76217B0-FD62-4691-BFFC-203DD4A554E6}" name="M_TABLE_23224" displayName="M_TABLE_23224" ref="B23:I43" totalsRowShown="0">
  <autoFilter ref="B23:I43" xr:uid="{E76217B0-FD62-4691-BFFC-203DD4A554E6}"/>
  <tableColumns count="8">
    <tableColumn id="9" xr3:uid="{A089B257-C011-4590-83D8-3AAA47C17D9E}" name="産業中分類上位２０"/>
    <tableColumn id="10" xr3:uid="{A228CF94-844E-42CC-88AF-52FC14E2637F}" name="総数／事業所数" dataCellStyle="桁区切り"/>
    <tableColumn id="11" xr3:uid="{0FF08837-9E76-4187-8066-C3AA2C7B0032}" name="総数／構成比" dataDxfId="425"/>
    <tableColumn id="12" xr3:uid="{43F03DE7-B92C-4014-9552-02B36AAB5E4C}" name="個人／事業所数" dataCellStyle="桁区切り"/>
    <tableColumn id="13" xr3:uid="{4259805B-CA04-4474-A34B-558F65E88D01}" name="個人／構成比" dataDxfId="424"/>
    <tableColumn id="14" xr3:uid="{C3D8C86F-5AE3-4993-8610-A6B44D42707C}" name="法人／事業所数" dataCellStyle="桁区切り"/>
    <tableColumn id="15" xr3:uid="{B56A01CB-8C27-4549-ADCE-B03605AF1637}" name="法人／構成比" dataDxfId="423"/>
    <tableColumn id="16" xr3:uid="{5DAD1973-3655-4CC2-A6EA-7D341CB61188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C35CA3A5-C771-4783-B681-14CDC99B0E24}" name="S_TABLE_23224" displayName="S_TABLE_23224" ref="B46:I67" totalsRowShown="0">
  <autoFilter ref="B46:I67" xr:uid="{C35CA3A5-C771-4783-B681-14CDC99B0E24}"/>
  <tableColumns count="8">
    <tableColumn id="9" xr3:uid="{B7594062-A8B8-45D6-AC74-9E244C7BEBA6}" name="産業小分類上位２０"/>
    <tableColumn id="10" xr3:uid="{7574D3DB-4E92-4B59-B6D4-F7B5CCF203C5}" name="総数／事業所数" dataCellStyle="桁区切り"/>
    <tableColumn id="11" xr3:uid="{EFBF0333-63B1-48D9-BC27-41C902C5F185}" name="総数／構成比" dataDxfId="422"/>
    <tableColumn id="12" xr3:uid="{8BDDA772-B4A9-4D60-9200-865B1DCDE29F}" name="個人／事業所数" dataCellStyle="桁区切り"/>
    <tableColumn id="13" xr3:uid="{7F89C90E-5123-4972-992E-63F8143C58C2}" name="個人／構成比" dataDxfId="421"/>
    <tableColumn id="14" xr3:uid="{9D936253-565E-4D5B-90F3-42F1839C338C}" name="法人／事業所数" dataCellStyle="桁区切り"/>
    <tableColumn id="15" xr3:uid="{0BEBDD5C-968A-43C4-A4FF-03E702DC29AF}" name="法人／構成比" dataDxfId="420"/>
    <tableColumn id="16" xr3:uid="{20009CE6-9E96-4871-BC9A-09050FA8572B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21385D1-0BD2-42E0-86BB-3C9552663C8A}" name="LTBL_23225" displayName="LTBL_23225" ref="B4:I20" totalsRowCount="1">
  <autoFilter ref="B4:I19" xr:uid="{821385D1-0BD2-42E0-86BB-3C9552663C8A}"/>
  <tableColumns count="8">
    <tableColumn id="9" xr3:uid="{6FD53843-6829-458C-BA6E-748C447FBBEF}" name="産業大分類" totalsRowLabel="合計" totalsRowDxfId="419"/>
    <tableColumn id="10" xr3:uid="{1103367D-E61D-4726-8244-E9EBE15F4F9A}" name="総数／事業所数" totalsRowFunction="custom" totalsRowDxfId="418" dataCellStyle="桁区切り" totalsRowCellStyle="桁区切り">
      <totalsRowFormula>SUM(LTBL_23225[総数／事業所数])</totalsRowFormula>
    </tableColumn>
    <tableColumn id="11" xr3:uid="{3583E865-2F18-40BB-BEB4-A4BBA1229114}" name="総数／構成比" dataDxfId="417"/>
    <tableColumn id="12" xr3:uid="{0DA7AF4E-F08D-4C9D-A9FB-A4356B10BAAA}" name="個人／事業所数" totalsRowFunction="sum" totalsRowDxfId="416" dataCellStyle="桁区切り" totalsRowCellStyle="桁区切り"/>
    <tableColumn id="13" xr3:uid="{513D83C0-CD7C-4B70-B11D-DBA8008BDFC5}" name="個人／構成比" dataDxfId="415"/>
    <tableColumn id="14" xr3:uid="{2D882A63-C8B3-4021-A2D5-8CC4B639A470}" name="法人／事業所数" totalsRowFunction="sum" totalsRowDxfId="414" dataCellStyle="桁区切り" totalsRowCellStyle="桁区切り"/>
    <tableColumn id="15" xr3:uid="{8905670E-407B-444B-B8F8-83909AE8EF60}" name="法人／構成比" dataDxfId="413"/>
    <tableColumn id="16" xr3:uid="{D399129B-4491-4A83-AC8F-163306869857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D719FF57-CF48-49C9-93F8-8A984157C769}" name="M_TABLE_23225" displayName="M_TABLE_23225" ref="B23:I43" totalsRowShown="0">
  <autoFilter ref="B23:I43" xr:uid="{D719FF57-CF48-49C9-93F8-8A984157C769}"/>
  <tableColumns count="8">
    <tableColumn id="9" xr3:uid="{D56DEED3-7A3A-412D-998B-355A65553E9F}" name="産業中分類上位２０"/>
    <tableColumn id="10" xr3:uid="{96DB3495-6C98-4092-B61B-A91B15A595A9}" name="総数／事業所数" dataCellStyle="桁区切り"/>
    <tableColumn id="11" xr3:uid="{86ACD365-9EA7-47B8-ABEF-A42E128E4350}" name="総数／構成比" dataDxfId="411"/>
    <tableColumn id="12" xr3:uid="{11CCD04E-89E6-40F3-A075-059192B45536}" name="個人／事業所数" dataCellStyle="桁区切り"/>
    <tableColumn id="13" xr3:uid="{A2B193A2-1433-446A-A1D9-68FC695E029D}" name="個人／構成比" dataDxfId="410"/>
    <tableColumn id="14" xr3:uid="{A551EFF9-3A42-4C01-BD98-B251DE10E2CC}" name="法人／事業所数" dataCellStyle="桁区切り"/>
    <tableColumn id="15" xr3:uid="{F1F67DD2-ECB4-4287-9AFE-B8F495EAC9B9}" name="法人／構成比" dataDxfId="409"/>
    <tableColumn id="16" xr3:uid="{2AA19716-CCAD-430C-9F8C-FA20B3888041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43D6C4FE-BE91-4F6D-B353-EB2657E81369}" name="S_TABLE_23225" displayName="S_TABLE_23225" ref="B46:I71" totalsRowShown="0">
  <autoFilter ref="B46:I71" xr:uid="{43D6C4FE-BE91-4F6D-B353-EB2657E81369}"/>
  <tableColumns count="8">
    <tableColumn id="9" xr3:uid="{55CD5586-F21B-4AA1-B439-E98ED6ED26AB}" name="産業小分類上位２０"/>
    <tableColumn id="10" xr3:uid="{8ABE6952-9438-4995-A1BC-07B58F8DBBFA}" name="総数／事業所数" dataCellStyle="桁区切り"/>
    <tableColumn id="11" xr3:uid="{224C9CC6-922F-4A0C-ADEC-AF5C3DA1A749}" name="総数／構成比" dataDxfId="408"/>
    <tableColumn id="12" xr3:uid="{8C193FEC-4257-4CF2-B0FC-5D0BA62FFBC4}" name="個人／事業所数" dataCellStyle="桁区切り"/>
    <tableColumn id="13" xr3:uid="{7D11BACF-090C-4AFB-AAEA-A5EDE31EE088}" name="個人／構成比" dataDxfId="407"/>
    <tableColumn id="14" xr3:uid="{3AE59984-8592-4A1F-A31E-0F90A4C5BED1}" name="法人／事業所数" dataCellStyle="桁区切り"/>
    <tableColumn id="15" xr3:uid="{78F4C30E-B17D-4FB2-9996-0F2925F7002D}" name="法人／構成比" dataDxfId="406"/>
    <tableColumn id="16" xr3:uid="{5BE9BA4B-E131-4D64-95D8-607630B7BFD3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8FA8BA53-34D6-4C67-8CF8-A8281C7D27AD}" name="LTBL_23226" displayName="LTBL_23226" ref="B4:I20" totalsRowCount="1">
  <autoFilter ref="B4:I19" xr:uid="{8FA8BA53-34D6-4C67-8CF8-A8281C7D27AD}"/>
  <tableColumns count="8">
    <tableColumn id="9" xr3:uid="{3FA039B4-7F9C-4F3A-BA85-5F3E85551FAB}" name="産業大分類" totalsRowLabel="合計" totalsRowDxfId="405"/>
    <tableColumn id="10" xr3:uid="{E0FDE2EB-A259-4A65-B560-1463F5C349EF}" name="総数／事業所数" totalsRowFunction="custom" totalsRowDxfId="404" dataCellStyle="桁区切り" totalsRowCellStyle="桁区切り">
      <totalsRowFormula>SUM(LTBL_23226[総数／事業所数])</totalsRowFormula>
    </tableColumn>
    <tableColumn id="11" xr3:uid="{1745326F-53E5-4443-AC6F-11CFA6DDD599}" name="総数／構成比" dataDxfId="403"/>
    <tableColumn id="12" xr3:uid="{03CA129D-4070-4F5E-AF2E-A894FA9ABD1B}" name="個人／事業所数" totalsRowFunction="sum" totalsRowDxfId="402" dataCellStyle="桁区切り" totalsRowCellStyle="桁区切り"/>
    <tableColumn id="13" xr3:uid="{B164DED0-F22A-4173-96A4-A03B8359B818}" name="個人／構成比" dataDxfId="401"/>
    <tableColumn id="14" xr3:uid="{B543B676-A220-4F60-8DDB-502282495882}" name="法人／事業所数" totalsRowFunction="sum" totalsRowDxfId="400" dataCellStyle="桁区切り" totalsRowCellStyle="桁区切り"/>
    <tableColumn id="15" xr3:uid="{A74DBBF3-C3A2-4FD1-B851-9C1C2BE54A41}" name="法人／構成比" dataDxfId="399"/>
    <tableColumn id="16" xr3:uid="{C9BACFF6-204A-4602-B86A-B8C85866BD2C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5A9C17C8-7848-44CC-A724-36C02104A073}" name="M_TABLE_23226" displayName="M_TABLE_23226" ref="B23:I44" totalsRowShown="0">
  <autoFilter ref="B23:I44" xr:uid="{5A9C17C8-7848-44CC-A724-36C02104A073}"/>
  <tableColumns count="8">
    <tableColumn id="9" xr3:uid="{3F65CDCB-3594-4D16-8BF2-EAE7D1634457}" name="産業中分類上位２０"/>
    <tableColumn id="10" xr3:uid="{C769634E-D4CA-42AD-A2BB-F0263D79D82A}" name="総数／事業所数" dataCellStyle="桁区切り"/>
    <tableColumn id="11" xr3:uid="{3DFEA7AF-1D85-4293-812C-0E78B1650E1C}" name="総数／構成比" dataDxfId="397"/>
    <tableColumn id="12" xr3:uid="{89A93330-0C3D-4350-8376-524D5327A143}" name="個人／事業所数" dataCellStyle="桁区切り"/>
    <tableColumn id="13" xr3:uid="{8A8CA28B-472F-41D4-AA9B-494BAACB26D9}" name="個人／構成比" dataDxfId="396"/>
    <tableColumn id="14" xr3:uid="{6A3ABDE4-9BB4-47BA-8833-C70912FB6018}" name="法人／事業所数" dataCellStyle="桁区切り"/>
    <tableColumn id="15" xr3:uid="{D6A82D6B-E8DA-4BE5-B744-CD50387BC84D}" name="法人／構成比" dataDxfId="395"/>
    <tableColumn id="16" xr3:uid="{6E280464-781B-4C95-A66F-B095D2353803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5EE5DBDF-6CD7-4A2A-995D-AF41226F5D87}" name="S_TABLE_23226" displayName="S_TABLE_23226" ref="B47:I68" totalsRowShown="0">
  <autoFilter ref="B47:I68" xr:uid="{5EE5DBDF-6CD7-4A2A-995D-AF41226F5D87}"/>
  <tableColumns count="8">
    <tableColumn id="9" xr3:uid="{550F83C6-3F99-4CA6-A605-0E34FA6E6D4E}" name="産業小分類上位２０"/>
    <tableColumn id="10" xr3:uid="{A81E4524-3A36-44D1-AC46-1B83C609AAE7}" name="総数／事業所数" dataCellStyle="桁区切り"/>
    <tableColumn id="11" xr3:uid="{D5C8A872-633A-4768-8894-52202A8078D0}" name="総数／構成比" dataDxfId="394"/>
    <tableColumn id="12" xr3:uid="{8AE9FC93-EB0B-4EB1-B757-E7C132CA6FB9}" name="個人／事業所数" dataCellStyle="桁区切り"/>
    <tableColumn id="13" xr3:uid="{4BFF2AF7-CB00-4117-9EC4-CA2454CDD259}" name="個人／構成比" dataDxfId="393"/>
    <tableColumn id="14" xr3:uid="{21E4ACFB-587B-4570-ABC8-9811DC817AC4}" name="法人／事業所数" dataCellStyle="桁区切り"/>
    <tableColumn id="15" xr3:uid="{67ACB9D4-7862-4995-A31F-960B87C5D011}" name="法人／構成比" dataDxfId="392"/>
    <tableColumn id="16" xr3:uid="{28372A90-45A3-48BF-A414-6724624F30DF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D049ACE-67F6-460C-B722-6F7B27B81688}" name="LTBL_23103" displayName="LTBL_23103" ref="B4:I20" totalsRowCount="1">
  <autoFilter ref="B4:I19" xr:uid="{6D049ACE-67F6-460C-B722-6F7B27B81688}"/>
  <tableColumns count="8">
    <tableColumn id="9" xr3:uid="{FC253207-FC78-4C3F-8F0E-681E2F86D4A8}" name="産業大分類" totalsRowLabel="合計" totalsRowDxfId="937"/>
    <tableColumn id="10" xr3:uid="{FE7F3720-EB04-45D2-9F3D-6ACE6561EFB0}" name="総数／事業所数" totalsRowFunction="custom" totalsRowDxfId="936" dataCellStyle="桁区切り" totalsRowCellStyle="桁区切り">
      <totalsRowFormula>SUM(LTBL_23103[総数／事業所数])</totalsRowFormula>
    </tableColumn>
    <tableColumn id="11" xr3:uid="{66097236-86D3-40A8-84EE-5FE836F15270}" name="総数／構成比" dataDxfId="935"/>
    <tableColumn id="12" xr3:uid="{5C8794D4-1C7D-4A94-9CE7-4467BC83AE17}" name="個人／事業所数" totalsRowFunction="sum" totalsRowDxfId="934" dataCellStyle="桁区切り" totalsRowCellStyle="桁区切り"/>
    <tableColumn id="13" xr3:uid="{5C7AABFA-7561-4550-9BDD-7F13782292CE}" name="個人／構成比" dataDxfId="933"/>
    <tableColumn id="14" xr3:uid="{168D58B8-3787-4182-9AEF-F83E3586D3AB}" name="法人／事業所数" totalsRowFunction="sum" totalsRowDxfId="932" dataCellStyle="桁区切り" totalsRowCellStyle="桁区切り"/>
    <tableColumn id="15" xr3:uid="{DFC4AAB8-8F5F-49B3-B4BA-7AA8CB9E15D9}" name="法人／構成比" dataDxfId="931"/>
    <tableColumn id="16" xr3:uid="{DC4477A8-AA69-464B-B698-0C1DEF528BAA}" name="法人以外の団体／事業所数" totalsRowFunction="sum" totalsRowDxfId="930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A444949A-5432-4496-BCEB-D2138EDDE9C0}" name="LTBL_23227" displayName="LTBL_23227" ref="B4:I20" totalsRowCount="1">
  <autoFilter ref="B4:I19" xr:uid="{A444949A-5432-4496-BCEB-D2138EDDE9C0}"/>
  <tableColumns count="8">
    <tableColumn id="9" xr3:uid="{68CD3103-E27F-4536-A35E-738539E988AB}" name="産業大分類" totalsRowLabel="合計" totalsRowDxfId="391"/>
    <tableColumn id="10" xr3:uid="{19AC8A57-DC56-4A54-ABDE-6B7EB5624981}" name="総数／事業所数" totalsRowFunction="custom" totalsRowDxfId="390" dataCellStyle="桁区切り" totalsRowCellStyle="桁区切り">
      <totalsRowFormula>SUM(LTBL_23227[総数／事業所数])</totalsRowFormula>
    </tableColumn>
    <tableColumn id="11" xr3:uid="{22F47F86-E588-4DB3-835F-A858934CBD74}" name="総数／構成比" dataDxfId="389"/>
    <tableColumn id="12" xr3:uid="{1A9D414E-E895-42B8-8AE4-9FE20A895ED4}" name="個人／事業所数" totalsRowFunction="sum" totalsRowDxfId="388" dataCellStyle="桁区切り" totalsRowCellStyle="桁区切り"/>
    <tableColumn id="13" xr3:uid="{AEC7E4EB-30AD-41B3-96F9-565E68EB5CBE}" name="個人／構成比" dataDxfId="387"/>
    <tableColumn id="14" xr3:uid="{450B46CB-5C1D-4D5E-B6A8-5E54603F332F}" name="法人／事業所数" totalsRowFunction="sum" totalsRowDxfId="386" dataCellStyle="桁区切り" totalsRowCellStyle="桁区切り"/>
    <tableColumn id="15" xr3:uid="{D04634A6-7CD1-4E16-A899-2DE771CD2374}" name="法人／構成比" dataDxfId="385"/>
    <tableColumn id="16" xr3:uid="{F6C6B96A-A395-4819-B27D-BEAFBAEEB1D8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18A57F66-6440-4239-9840-76D6D4D919C2}" name="M_TABLE_23227" displayName="M_TABLE_23227" ref="B23:I43" totalsRowShown="0">
  <autoFilter ref="B23:I43" xr:uid="{18A57F66-6440-4239-9840-76D6D4D919C2}"/>
  <tableColumns count="8">
    <tableColumn id="9" xr3:uid="{AA1F1156-AF54-4262-93B0-FC6C6B3677C3}" name="産業中分類上位２０"/>
    <tableColumn id="10" xr3:uid="{5E85A274-B20B-4613-9065-7EB564C9BB9C}" name="総数／事業所数" dataCellStyle="桁区切り"/>
    <tableColumn id="11" xr3:uid="{0375DDF2-B65D-4531-92E4-F8F8E5151A5B}" name="総数／構成比" dataDxfId="383"/>
    <tableColumn id="12" xr3:uid="{FB75DD99-49B2-4A6E-84D4-BBCE8A0A9672}" name="個人／事業所数" dataCellStyle="桁区切り"/>
    <tableColumn id="13" xr3:uid="{9162FCE8-B0C2-405F-951D-65C57A963FE1}" name="個人／構成比" dataDxfId="382"/>
    <tableColumn id="14" xr3:uid="{12337D8B-0F42-4695-A560-9339D42AFEF5}" name="法人／事業所数" dataCellStyle="桁区切り"/>
    <tableColumn id="15" xr3:uid="{879E1FF2-7C20-4120-A7ED-285FE21C96B7}" name="法人／構成比" dataDxfId="381"/>
    <tableColumn id="16" xr3:uid="{EE3302E9-EB35-4AEE-9A45-ECCC0D470AB5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C9829995-3731-44C8-9E20-2D87712637A9}" name="S_TABLE_23227" displayName="S_TABLE_23227" ref="B46:I66" totalsRowShown="0">
  <autoFilter ref="B46:I66" xr:uid="{C9829995-3731-44C8-9E20-2D87712637A9}"/>
  <tableColumns count="8">
    <tableColumn id="9" xr3:uid="{3E7AD23C-5C27-47CD-8119-B09F03DCB8A4}" name="産業小分類上位２０"/>
    <tableColumn id="10" xr3:uid="{615A94A5-8F99-4408-B114-F4975A18E614}" name="総数／事業所数" dataCellStyle="桁区切り"/>
    <tableColumn id="11" xr3:uid="{809F2D92-D022-4370-BABB-286FC0E60994}" name="総数／構成比" dataDxfId="380"/>
    <tableColumn id="12" xr3:uid="{B37C286D-CFAB-4B95-A053-05F32E12AAF1}" name="個人／事業所数" dataCellStyle="桁区切り"/>
    <tableColumn id="13" xr3:uid="{3226F363-FDD6-4E0A-88DF-FEA27CC5ECCC}" name="個人／構成比" dataDxfId="379"/>
    <tableColumn id="14" xr3:uid="{1ADC15C8-5A48-408F-ACA2-E51DB3F9CAAC}" name="法人／事業所数" dataCellStyle="桁区切り"/>
    <tableColumn id="15" xr3:uid="{ACB8AACA-D7D4-43D3-AFF7-2A80C535FB01}" name="法人／構成比" dataDxfId="378"/>
    <tableColumn id="16" xr3:uid="{D47D0AE9-F60A-4DA4-B75B-D994CAF00D50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47A10330-186C-41D7-AD06-CA08AA98055B}" name="LTBL_23228" displayName="LTBL_23228" ref="B4:I20" totalsRowCount="1">
  <autoFilter ref="B4:I19" xr:uid="{47A10330-186C-41D7-AD06-CA08AA98055B}"/>
  <tableColumns count="8">
    <tableColumn id="9" xr3:uid="{008A5B7E-322A-4AB8-A69D-27C0CFF86DE0}" name="産業大分類" totalsRowLabel="合計" totalsRowDxfId="377"/>
    <tableColumn id="10" xr3:uid="{5D846ACF-1FAD-4A25-BAAA-5ADEAE4DE32E}" name="総数／事業所数" totalsRowFunction="custom" totalsRowDxfId="376" dataCellStyle="桁区切り" totalsRowCellStyle="桁区切り">
      <totalsRowFormula>SUM(LTBL_23228[総数／事業所数])</totalsRowFormula>
    </tableColumn>
    <tableColumn id="11" xr3:uid="{21B56C73-65AA-4AA4-8F72-11C45E226651}" name="総数／構成比" dataDxfId="375"/>
    <tableColumn id="12" xr3:uid="{39B7D8C2-D2AC-450B-9CBD-33B1A72EC567}" name="個人／事業所数" totalsRowFunction="sum" totalsRowDxfId="374" dataCellStyle="桁区切り" totalsRowCellStyle="桁区切り"/>
    <tableColumn id="13" xr3:uid="{7BB41501-7D16-4B21-8D14-8644E52DAF4A}" name="個人／構成比" dataDxfId="373"/>
    <tableColumn id="14" xr3:uid="{A95B030B-0169-483E-B5FA-F73473C78D60}" name="法人／事業所数" totalsRowFunction="sum" totalsRowDxfId="372" dataCellStyle="桁区切り" totalsRowCellStyle="桁区切り"/>
    <tableColumn id="15" xr3:uid="{2D7DD8FA-6222-46A9-8C24-8AECBF5B33C0}" name="法人／構成比" dataDxfId="371"/>
    <tableColumn id="16" xr3:uid="{DAE731A1-7044-4A63-9460-248C4EE21EF9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B498F8F9-E9FF-4641-A589-B1BFF98C35D1}" name="M_TABLE_23228" displayName="M_TABLE_23228" ref="B23:I43" totalsRowShown="0">
  <autoFilter ref="B23:I43" xr:uid="{B498F8F9-E9FF-4641-A589-B1BFF98C35D1}"/>
  <tableColumns count="8">
    <tableColumn id="9" xr3:uid="{C569062D-C6D4-4806-AA75-870AB70BB092}" name="産業中分類上位２０"/>
    <tableColumn id="10" xr3:uid="{5229BEF9-9DE8-4427-8AEE-A98C7456088A}" name="総数／事業所数" dataCellStyle="桁区切り"/>
    <tableColumn id="11" xr3:uid="{209784CE-8A8A-4591-8B4E-2BB8091DF173}" name="総数／構成比" dataDxfId="369"/>
    <tableColumn id="12" xr3:uid="{CAFD1406-0F39-46EF-A67E-3714CF9FB27F}" name="個人／事業所数" dataCellStyle="桁区切り"/>
    <tableColumn id="13" xr3:uid="{6523E737-51CD-4D1D-B6D5-C1C9BE236A53}" name="個人／構成比" dataDxfId="368"/>
    <tableColumn id="14" xr3:uid="{025C3A31-7930-49B3-8402-8690854E9F50}" name="法人／事業所数" dataCellStyle="桁区切り"/>
    <tableColumn id="15" xr3:uid="{A9D6970D-F16E-4704-9A74-CF13CD2A0C22}" name="法人／構成比" dataDxfId="367"/>
    <tableColumn id="16" xr3:uid="{154959EB-08A3-4664-BCCC-6A7FE8C53DD7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7A3A9DF3-6124-48D0-BFB3-38DD36111CEF}" name="S_TABLE_23228" displayName="S_TABLE_23228" ref="B46:I66" totalsRowShown="0">
  <autoFilter ref="B46:I66" xr:uid="{7A3A9DF3-6124-48D0-BFB3-38DD36111CEF}"/>
  <tableColumns count="8">
    <tableColumn id="9" xr3:uid="{DE3A8EFB-0548-4665-9025-CFAA8355678C}" name="産業小分類上位２０"/>
    <tableColumn id="10" xr3:uid="{C363C901-5730-4F42-BB13-D04DC583E7ED}" name="総数／事業所数" dataCellStyle="桁区切り"/>
    <tableColumn id="11" xr3:uid="{4BA1A7AD-7D47-4374-A54F-917E209CCB2F}" name="総数／構成比" dataDxfId="366"/>
    <tableColumn id="12" xr3:uid="{41C6EAF0-6E10-4C84-9581-4E41D38CB87C}" name="個人／事業所数" dataCellStyle="桁区切り"/>
    <tableColumn id="13" xr3:uid="{F3804FF7-4A83-4DD7-A26A-9089FB5B3056}" name="個人／構成比" dataDxfId="365"/>
    <tableColumn id="14" xr3:uid="{A9E35893-389A-46B3-91DB-00D763D633E7}" name="法人／事業所数" dataCellStyle="桁区切り"/>
    <tableColumn id="15" xr3:uid="{3CBE4ADA-AA34-4709-A799-232FB798B9A2}" name="法人／構成比" dataDxfId="364"/>
    <tableColumn id="16" xr3:uid="{7B5C06A6-64E9-414D-8899-4BF3D79C64F5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58DA4F48-D7B4-4AC4-9206-452B7E4DAE4E}" name="LTBL_23229" displayName="LTBL_23229" ref="B4:I20" totalsRowCount="1">
  <autoFilter ref="B4:I19" xr:uid="{58DA4F48-D7B4-4AC4-9206-452B7E4DAE4E}"/>
  <tableColumns count="8">
    <tableColumn id="9" xr3:uid="{7D1EA604-FFCB-4429-B21D-FE0A0D9A52B2}" name="産業大分類" totalsRowLabel="合計" totalsRowDxfId="363"/>
    <tableColumn id="10" xr3:uid="{16E3AE2F-2E08-4210-9773-3D766B29ED8D}" name="総数／事業所数" totalsRowFunction="custom" totalsRowDxfId="362" dataCellStyle="桁区切り" totalsRowCellStyle="桁区切り">
      <totalsRowFormula>SUM(LTBL_23229[総数／事業所数])</totalsRowFormula>
    </tableColumn>
    <tableColumn id="11" xr3:uid="{C5929E16-5070-4E2F-A633-EE9F7993E04C}" name="総数／構成比" dataDxfId="361"/>
    <tableColumn id="12" xr3:uid="{14FC7D19-F4C4-4C95-8C7E-2F9FC1B5A55D}" name="個人／事業所数" totalsRowFunction="sum" totalsRowDxfId="360" dataCellStyle="桁区切り" totalsRowCellStyle="桁区切り"/>
    <tableColumn id="13" xr3:uid="{F74594DF-1BF2-4461-90AD-722549749607}" name="個人／構成比" dataDxfId="359"/>
    <tableColumn id="14" xr3:uid="{213EE82C-C47E-4CDC-BAAE-AD652656D460}" name="法人／事業所数" totalsRowFunction="sum" totalsRowDxfId="358" dataCellStyle="桁区切り" totalsRowCellStyle="桁区切り"/>
    <tableColumn id="15" xr3:uid="{9A295441-0CD4-488D-9AA0-E8B0FCD824AE}" name="法人／構成比" dataDxfId="357"/>
    <tableColumn id="16" xr3:uid="{10038D26-BFC9-4BE8-8CFC-84E5A1A65EC9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8EB40CDC-27E3-4881-894E-720C4E1DCD3D}" name="M_TABLE_23229" displayName="M_TABLE_23229" ref="B23:I43" totalsRowShown="0">
  <autoFilter ref="B23:I43" xr:uid="{8EB40CDC-27E3-4881-894E-720C4E1DCD3D}"/>
  <tableColumns count="8">
    <tableColumn id="9" xr3:uid="{265B9843-0913-4CE7-ACDC-2678DB232632}" name="産業中分類上位２０"/>
    <tableColumn id="10" xr3:uid="{10F8037C-B0D4-4943-A9DA-18EEC6DFA3F4}" name="総数／事業所数" dataCellStyle="桁区切り"/>
    <tableColumn id="11" xr3:uid="{DAFFEB5C-7BD8-431A-86F0-175670864BE6}" name="総数／構成比" dataDxfId="355"/>
    <tableColumn id="12" xr3:uid="{7B7A519C-AAE1-4A2A-82B2-85285CD92353}" name="個人／事業所数" dataCellStyle="桁区切り"/>
    <tableColumn id="13" xr3:uid="{424EAB79-65FC-468C-950F-6D5C053FD1E0}" name="個人／構成比" dataDxfId="354"/>
    <tableColumn id="14" xr3:uid="{AC07E1F0-7E84-49C6-8401-CDF8E2ED7A7D}" name="法人／事業所数" dataCellStyle="桁区切り"/>
    <tableColumn id="15" xr3:uid="{1E584500-BFB3-4626-8DBB-E7B31B90C7B6}" name="法人／構成比" dataDxfId="353"/>
    <tableColumn id="16" xr3:uid="{4FA24C14-A49C-489F-B526-B8B378E27A7F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51925F3B-6091-4987-BB75-23C4A61728BC}" name="S_TABLE_23229" displayName="S_TABLE_23229" ref="B46:I68" totalsRowShown="0">
  <autoFilter ref="B46:I68" xr:uid="{51925F3B-6091-4987-BB75-23C4A61728BC}"/>
  <tableColumns count="8">
    <tableColumn id="9" xr3:uid="{D01A761A-BC5C-4CD4-924B-063547B4CBB7}" name="産業小分類上位２０"/>
    <tableColumn id="10" xr3:uid="{E9E56715-B40F-4EE2-9C80-1C4F8F38D54C}" name="総数／事業所数" dataCellStyle="桁区切り"/>
    <tableColumn id="11" xr3:uid="{C0802EC4-51D6-4EAE-AB3D-78BFED6F6E59}" name="総数／構成比" dataDxfId="352"/>
    <tableColumn id="12" xr3:uid="{094D60E0-4DD8-46AF-9DE5-1D263EE68DFF}" name="個人／事業所数" dataCellStyle="桁区切り"/>
    <tableColumn id="13" xr3:uid="{9D0CE16F-88A7-4628-9FD7-1E03BBFC8B0A}" name="個人／構成比" dataDxfId="351"/>
    <tableColumn id="14" xr3:uid="{5152882C-69B2-474A-B295-3F1CBEB4792C}" name="法人／事業所数" dataCellStyle="桁区切り"/>
    <tableColumn id="15" xr3:uid="{12FDAD88-DFF6-4AD8-8F91-42E92C5A2B02}" name="法人／構成比" dataDxfId="350"/>
    <tableColumn id="16" xr3:uid="{D2CDAD19-9FA6-4F14-BD83-54E529324DD3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4101FC6D-B191-4931-8B9E-21926B28D2D8}" name="LTBL_23230" displayName="LTBL_23230" ref="B4:I20" totalsRowCount="1">
  <autoFilter ref="B4:I19" xr:uid="{4101FC6D-B191-4931-8B9E-21926B28D2D8}"/>
  <tableColumns count="8">
    <tableColumn id="9" xr3:uid="{AAB3A816-788F-4F45-8A60-802BFBFA84F5}" name="産業大分類" totalsRowLabel="合計" totalsRowDxfId="349"/>
    <tableColumn id="10" xr3:uid="{63736C69-87B8-459C-AF5C-F1D1AC1AFE2A}" name="総数／事業所数" totalsRowFunction="custom" totalsRowDxfId="348" dataCellStyle="桁区切り" totalsRowCellStyle="桁区切り">
      <totalsRowFormula>SUM(LTBL_23230[総数／事業所数])</totalsRowFormula>
    </tableColumn>
    <tableColumn id="11" xr3:uid="{B0735F24-1B3A-4295-95B9-E4A88A1203E0}" name="総数／構成比" dataDxfId="347"/>
    <tableColumn id="12" xr3:uid="{06DF78CF-43AA-4C37-AE06-4BE738228260}" name="個人／事業所数" totalsRowFunction="sum" totalsRowDxfId="346" dataCellStyle="桁区切り" totalsRowCellStyle="桁区切り"/>
    <tableColumn id="13" xr3:uid="{2F71827E-6200-4252-A443-D7DE25335EEE}" name="個人／構成比" dataDxfId="345"/>
    <tableColumn id="14" xr3:uid="{8F6FB360-97F9-4B6D-A044-C112ACB7D6EC}" name="法人／事業所数" totalsRowFunction="sum" totalsRowDxfId="344" dataCellStyle="桁区切り" totalsRowCellStyle="桁区切り"/>
    <tableColumn id="15" xr3:uid="{03F78286-E726-4701-9644-0C9A87012182}" name="法人／構成比" dataDxfId="343"/>
    <tableColumn id="16" xr3:uid="{08296176-7A7E-4279-8782-1A43E6B75D1D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B3B3AD0-BAFB-41A4-AD76-2D1C4EDA2AD0}" name="M_TABLE_23103" displayName="M_TABLE_23103" ref="B23:I43" totalsRowShown="0">
  <autoFilter ref="B23:I43" xr:uid="{0B3B3AD0-BAFB-41A4-AD76-2D1C4EDA2AD0}"/>
  <tableColumns count="8">
    <tableColumn id="9" xr3:uid="{76897C03-4DEA-461C-8242-F76163BE3231}" name="産業中分類上位２０"/>
    <tableColumn id="10" xr3:uid="{436B2865-270C-4B54-94B1-DA3D4F0CCB8F}" name="総数／事業所数" dataCellStyle="桁区切り"/>
    <tableColumn id="11" xr3:uid="{6006755A-B27C-4C88-BFF5-09DBA1899522}" name="総数／構成比" dataDxfId="929"/>
    <tableColumn id="12" xr3:uid="{62C4A9CA-1DA5-4CC6-96A4-D5A0A0266EA9}" name="個人／事業所数" dataCellStyle="桁区切り"/>
    <tableColumn id="13" xr3:uid="{9F16C0E6-22B7-423B-AD62-12A3B3B00FAC}" name="個人／構成比" dataDxfId="928"/>
    <tableColumn id="14" xr3:uid="{7E0D8CCF-7CA7-41EA-934A-35B84D46B233}" name="法人／事業所数" dataCellStyle="桁区切り"/>
    <tableColumn id="15" xr3:uid="{0AD70EEA-C095-43C6-A358-456ACAC89588}" name="法人／構成比" dataDxfId="927"/>
    <tableColumn id="16" xr3:uid="{B806072D-D6C7-4373-AAAA-1236E03E7B2D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2BD53226-11B2-4188-B01B-6E61200EFC6A}" name="M_TABLE_23230" displayName="M_TABLE_23230" ref="B23:I43" totalsRowShown="0">
  <autoFilter ref="B23:I43" xr:uid="{2BD53226-11B2-4188-B01B-6E61200EFC6A}"/>
  <tableColumns count="8">
    <tableColumn id="9" xr3:uid="{2FCFAA96-9FA9-40ED-9619-EE622998DF4D}" name="産業中分類上位２０"/>
    <tableColumn id="10" xr3:uid="{166CE86E-4D74-40B7-A49E-4BD25896B465}" name="総数／事業所数" dataCellStyle="桁区切り"/>
    <tableColumn id="11" xr3:uid="{2F3D555D-7EDE-47BD-888C-22570A12C495}" name="総数／構成比" dataDxfId="341"/>
    <tableColumn id="12" xr3:uid="{22C74CFB-188F-4B76-95E5-81BDEED17D27}" name="個人／事業所数" dataCellStyle="桁区切り"/>
    <tableColumn id="13" xr3:uid="{FC2F3452-6A77-43D0-868C-F4CFD6992BE6}" name="個人／構成比" dataDxfId="340"/>
    <tableColumn id="14" xr3:uid="{6A59D438-2A0C-4211-884F-61EDA236A309}" name="法人／事業所数" dataCellStyle="桁区切り"/>
    <tableColumn id="15" xr3:uid="{C11DA621-4563-4B6C-BAB8-8741DD93ADC6}" name="法人／構成比" dataDxfId="339"/>
    <tableColumn id="16" xr3:uid="{7C8E6EE3-98D1-4A73-AF6E-33B793BB7FC7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59F970FD-2A2D-45C4-959C-06FEE416B401}" name="S_TABLE_23230" displayName="S_TABLE_23230" ref="B46:I66" totalsRowShown="0">
  <autoFilter ref="B46:I66" xr:uid="{59F970FD-2A2D-45C4-959C-06FEE416B401}"/>
  <tableColumns count="8">
    <tableColumn id="9" xr3:uid="{9752A9C7-7FEF-46E7-8AEB-B0745DD461E6}" name="産業小分類上位２０"/>
    <tableColumn id="10" xr3:uid="{F12B2DFE-DB42-4F3D-B37C-6ECAAA14B109}" name="総数／事業所数" dataCellStyle="桁区切り"/>
    <tableColumn id="11" xr3:uid="{8B7AE0D3-6184-4F81-B515-88AEC755F885}" name="総数／構成比" dataDxfId="338"/>
    <tableColumn id="12" xr3:uid="{2C6E3A00-F780-4F1A-B76E-740734235717}" name="個人／事業所数" dataCellStyle="桁区切り"/>
    <tableColumn id="13" xr3:uid="{3A38ECF9-8495-4DA3-A379-C209DB275BB2}" name="個人／構成比" dataDxfId="337"/>
    <tableColumn id="14" xr3:uid="{1921FF52-6104-4369-A916-B76A7CA7EE50}" name="法人／事業所数" dataCellStyle="桁区切り"/>
    <tableColumn id="15" xr3:uid="{970779E8-8D19-4372-AEF8-F9A9B846C4F4}" name="法人／構成比" dataDxfId="336"/>
    <tableColumn id="16" xr3:uid="{8AD21BB1-66E4-43E6-90C9-4E53BBA9403D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3B4E54C0-DAA2-44B9-B1BB-F452F221BBF3}" name="LTBL_23231" displayName="LTBL_23231" ref="B4:I20" totalsRowCount="1">
  <autoFilter ref="B4:I19" xr:uid="{3B4E54C0-DAA2-44B9-B1BB-F452F221BBF3}"/>
  <tableColumns count="8">
    <tableColumn id="9" xr3:uid="{8092BEB9-A813-4795-8A7B-62FDBD700F3A}" name="産業大分類" totalsRowLabel="合計" totalsRowDxfId="335"/>
    <tableColumn id="10" xr3:uid="{1B8AD8C5-A8DC-425E-8B1A-6F788C4C9DA4}" name="総数／事業所数" totalsRowFunction="custom" totalsRowDxfId="334" dataCellStyle="桁区切り" totalsRowCellStyle="桁区切り">
      <totalsRowFormula>SUM(LTBL_23231[総数／事業所数])</totalsRowFormula>
    </tableColumn>
    <tableColumn id="11" xr3:uid="{1B8DF1D8-2056-417F-926B-F07D05EA840F}" name="総数／構成比" dataDxfId="333"/>
    <tableColumn id="12" xr3:uid="{6FA9EC9F-6963-4676-999B-DBD717347AA6}" name="個人／事業所数" totalsRowFunction="sum" totalsRowDxfId="332" dataCellStyle="桁区切り" totalsRowCellStyle="桁区切り"/>
    <tableColumn id="13" xr3:uid="{94874D58-01B0-478C-A918-5A44D73F4E36}" name="個人／構成比" dataDxfId="331"/>
    <tableColumn id="14" xr3:uid="{6957ED2D-BCA1-4665-90F6-E313C7F6547B}" name="法人／事業所数" totalsRowFunction="sum" totalsRowDxfId="330" dataCellStyle="桁区切り" totalsRowCellStyle="桁区切り"/>
    <tableColumn id="15" xr3:uid="{4B481AD6-021D-4FF9-9EAF-72A187619F5F}" name="法人／構成比" dataDxfId="329"/>
    <tableColumn id="16" xr3:uid="{668F017C-7E4D-4C11-A593-5E971780B180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21672509-5C04-4DAF-B833-F40BAD8A8DFC}" name="M_TABLE_23231" displayName="M_TABLE_23231" ref="B23:I44" totalsRowShown="0">
  <autoFilter ref="B23:I44" xr:uid="{21672509-5C04-4DAF-B833-F40BAD8A8DFC}"/>
  <tableColumns count="8">
    <tableColumn id="9" xr3:uid="{6C21558C-F12D-4470-896E-4E01A4818715}" name="産業中分類上位２０"/>
    <tableColumn id="10" xr3:uid="{5452C150-C725-43E0-A473-F7ABC83BD192}" name="総数／事業所数" dataCellStyle="桁区切り"/>
    <tableColumn id="11" xr3:uid="{F94A7876-F8BF-42A4-BA1B-F8B82A4696C6}" name="総数／構成比" dataDxfId="327"/>
    <tableColumn id="12" xr3:uid="{28C13810-48BC-430C-84CE-4752FA7FF06B}" name="個人／事業所数" dataCellStyle="桁区切り"/>
    <tableColumn id="13" xr3:uid="{315CE89D-7046-4DC2-A4A2-6CA43F54D483}" name="個人／構成比" dataDxfId="326"/>
    <tableColumn id="14" xr3:uid="{691BFA42-0FCD-4CED-B52B-691F29FB5C8B}" name="法人／事業所数" dataCellStyle="桁区切り"/>
    <tableColumn id="15" xr3:uid="{81DCB9A5-225E-4B02-9343-4B212C310056}" name="法人／構成比" dataDxfId="325"/>
    <tableColumn id="16" xr3:uid="{445A0195-7BEC-487C-9852-8DFD9EE2D71E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128B089F-B38E-46E4-A51B-3584E003797A}" name="S_TABLE_23231" displayName="S_TABLE_23231" ref="B47:I67" totalsRowShown="0">
  <autoFilter ref="B47:I67" xr:uid="{128B089F-B38E-46E4-A51B-3584E003797A}"/>
  <tableColumns count="8">
    <tableColumn id="9" xr3:uid="{6C4AF0B3-C7CA-4FE8-A430-C979B59CF390}" name="産業小分類上位２０"/>
    <tableColumn id="10" xr3:uid="{54E5295B-8296-48D3-A039-F9A5B8C4F915}" name="総数／事業所数" dataCellStyle="桁区切り"/>
    <tableColumn id="11" xr3:uid="{4B0190EC-6F76-41C0-BF29-B09EBDCFECE2}" name="総数／構成比" dataDxfId="324"/>
    <tableColumn id="12" xr3:uid="{1C9318CF-E71B-48A7-A3D7-E0C314CBE952}" name="個人／事業所数" dataCellStyle="桁区切り"/>
    <tableColumn id="13" xr3:uid="{BC496AE2-A08E-4C99-884A-DE66F31D10BB}" name="個人／構成比" dataDxfId="323"/>
    <tableColumn id="14" xr3:uid="{230BA871-CC33-4FD9-9B16-B6854F9E9C0F}" name="法人／事業所数" dataCellStyle="桁区切り"/>
    <tableColumn id="15" xr3:uid="{5AE53EC8-2211-487D-953F-902CBB8BD059}" name="法人／構成比" dataDxfId="322"/>
    <tableColumn id="16" xr3:uid="{CC290187-63BD-4757-9969-3A1DE499B648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EF9A2C74-0766-49C9-8EB2-0E619C984278}" name="LTBL_23232" displayName="LTBL_23232" ref="B4:I20" totalsRowCount="1">
  <autoFilter ref="B4:I19" xr:uid="{EF9A2C74-0766-49C9-8EB2-0E619C984278}"/>
  <tableColumns count="8">
    <tableColumn id="9" xr3:uid="{E96A373F-8F63-45AF-ACDA-E672E9C4A4CA}" name="産業大分類" totalsRowLabel="合計" totalsRowDxfId="321"/>
    <tableColumn id="10" xr3:uid="{F2BE0A86-7058-4EDF-BD41-76697E5B9F5B}" name="総数／事業所数" totalsRowFunction="custom" totalsRowDxfId="320" dataCellStyle="桁区切り" totalsRowCellStyle="桁区切り">
      <totalsRowFormula>SUM(LTBL_23232[総数／事業所数])</totalsRowFormula>
    </tableColumn>
    <tableColumn id="11" xr3:uid="{AB4430CF-6770-457E-B340-95EC3DE5CEBD}" name="総数／構成比" dataDxfId="319"/>
    <tableColumn id="12" xr3:uid="{8AC59F2C-7FD3-40F8-880F-1A1DB1799B5A}" name="個人／事業所数" totalsRowFunction="sum" totalsRowDxfId="318" dataCellStyle="桁区切り" totalsRowCellStyle="桁区切り"/>
    <tableColumn id="13" xr3:uid="{5E1BE403-8870-425D-B51E-5A3246B08AEE}" name="個人／構成比" dataDxfId="317"/>
    <tableColumn id="14" xr3:uid="{20939F3C-FC20-4B65-8630-BEC4B979FFA9}" name="法人／事業所数" totalsRowFunction="sum" totalsRowDxfId="316" dataCellStyle="桁区切り" totalsRowCellStyle="桁区切り"/>
    <tableColumn id="15" xr3:uid="{5E7A247A-3E93-4910-980D-1C98F292773D}" name="法人／構成比" dataDxfId="315"/>
    <tableColumn id="16" xr3:uid="{02BAD178-0228-4812-946E-86EA2BA37C14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C74FB3CF-7AD4-44F9-A272-394B64DDD5CA}" name="M_TABLE_23232" displayName="M_TABLE_23232" ref="B23:I44" totalsRowShown="0">
  <autoFilter ref="B23:I44" xr:uid="{C74FB3CF-7AD4-44F9-A272-394B64DDD5CA}"/>
  <tableColumns count="8">
    <tableColumn id="9" xr3:uid="{1CD4922F-FD57-41C7-94C6-CFF98D48180C}" name="産業中分類上位２０"/>
    <tableColumn id="10" xr3:uid="{53838EE9-5899-4F6B-9AB1-F386638C55E3}" name="総数／事業所数" dataCellStyle="桁区切り"/>
    <tableColumn id="11" xr3:uid="{6B51EC03-47B2-49FD-9737-0CBA64FD3A80}" name="総数／構成比" dataDxfId="313"/>
    <tableColumn id="12" xr3:uid="{9888F012-EC3E-4871-92D5-FBC2AC6AB776}" name="個人／事業所数" dataCellStyle="桁区切り"/>
    <tableColumn id="13" xr3:uid="{DAA205DB-7E28-4131-9F5A-B54B15F26235}" name="個人／構成比" dataDxfId="312"/>
    <tableColumn id="14" xr3:uid="{7FFC2450-06D2-4421-AE81-411AD98B653C}" name="法人／事業所数" dataCellStyle="桁区切り"/>
    <tableColumn id="15" xr3:uid="{B389DA52-5792-47FD-A0FB-8FA869187748}" name="法人／構成比" dataDxfId="311"/>
    <tableColumn id="16" xr3:uid="{2764E5B3-73C8-47E9-B7C4-7737C11E052D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5B1E67F9-6633-4046-8630-2D6495DF4141}" name="S_TABLE_23232" displayName="S_TABLE_23232" ref="B47:I67" totalsRowShown="0">
  <autoFilter ref="B47:I67" xr:uid="{5B1E67F9-6633-4046-8630-2D6495DF4141}"/>
  <tableColumns count="8">
    <tableColumn id="9" xr3:uid="{65AD4C7A-2210-48C9-AB0F-A9896CBC2360}" name="産業小分類上位２０"/>
    <tableColumn id="10" xr3:uid="{37860762-F053-4ACA-9C0D-FD565863BD11}" name="総数／事業所数" dataCellStyle="桁区切り"/>
    <tableColumn id="11" xr3:uid="{0D36012C-B1FF-4732-AF10-9B17F1C30057}" name="総数／構成比" dataDxfId="310"/>
    <tableColumn id="12" xr3:uid="{2BE6EF86-7F19-49D4-923C-A5964C91BE66}" name="個人／事業所数" dataCellStyle="桁区切り"/>
    <tableColumn id="13" xr3:uid="{AD47F11B-175B-44CA-831B-575170301BA0}" name="個人／構成比" dataDxfId="309"/>
    <tableColumn id="14" xr3:uid="{9E9F6113-BC47-4E30-8A87-4B12F558AB66}" name="法人／事業所数" dataCellStyle="桁区切り"/>
    <tableColumn id="15" xr3:uid="{944E01E1-841B-46ED-8BE6-A60FA0FF6462}" name="法人／構成比" dataDxfId="308"/>
    <tableColumn id="16" xr3:uid="{810B9292-9B9D-4A10-A413-C93863F065FA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E9D90A41-823B-4CAA-9890-73C2A7555AA7}" name="LTBL_23233" displayName="LTBL_23233" ref="B4:I20" totalsRowCount="1">
  <autoFilter ref="B4:I19" xr:uid="{E9D90A41-823B-4CAA-9890-73C2A7555AA7}"/>
  <tableColumns count="8">
    <tableColumn id="9" xr3:uid="{D378B937-35AB-4E43-B8A5-D227E2CD9FB4}" name="産業大分類" totalsRowLabel="合計" totalsRowDxfId="307"/>
    <tableColumn id="10" xr3:uid="{083DEEAB-F111-4F0A-BAC6-7D668BA8AD02}" name="総数／事業所数" totalsRowFunction="custom" totalsRowDxfId="306" dataCellStyle="桁区切り" totalsRowCellStyle="桁区切り">
      <totalsRowFormula>SUM(LTBL_23233[総数／事業所数])</totalsRowFormula>
    </tableColumn>
    <tableColumn id="11" xr3:uid="{E6F5DDDB-5F46-4F1B-A0A2-D55198F9E9A0}" name="総数／構成比" dataDxfId="305"/>
    <tableColumn id="12" xr3:uid="{46AF594A-11E5-4AA5-890D-07426FDFB125}" name="個人／事業所数" totalsRowFunction="sum" totalsRowDxfId="304" dataCellStyle="桁区切り" totalsRowCellStyle="桁区切り"/>
    <tableColumn id="13" xr3:uid="{20E3572E-BABD-4906-89A2-95F9BB897AD5}" name="個人／構成比" dataDxfId="303"/>
    <tableColumn id="14" xr3:uid="{50B25FB3-555B-4BB8-90C8-03DE67764F90}" name="法人／事業所数" totalsRowFunction="sum" totalsRowDxfId="302" dataCellStyle="桁区切り" totalsRowCellStyle="桁区切り"/>
    <tableColumn id="15" xr3:uid="{422F17B3-7CCF-4ACA-9F05-1F23E683775D}" name="法人／構成比" dataDxfId="301"/>
    <tableColumn id="16" xr3:uid="{84B73D17-6886-4330-B0FD-C02554457F41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E83ACC3F-9B44-4475-A9E3-BEEFB4FF33E9}" name="M_TABLE_23233" displayName="M_TABLE_23233" ref="B23:I44" totalsRowShown="0">
  <autoFilter ref="B23:I44" xr:uid="{E83ACC3F-9B44-4475-A9E3-BEEFB4FF33E9}"/>
  <tableColumns count="8">
    <tableColumn id="9" xr3:uid="{66023BCB-D1B7-49FD-B686-8AC4AEC44871}" name="産業中分類上位２０"/>
    <tableColumn id="10" xr3:uid="{4749C31A-92A2-411B-933B-0E89B3945B4F}" name="総数／事業所数" dataCellStyle="桁区切り"/>
    <tableColumn id="11" xr3:uid="{DEC98A9E-5D22-4044-85D3-040F3A9DA282}" name="総数／構成比" dataDxfId="299"/>
    <tableColumn id="12" xr3:uid="{C1208A3A-F129-4750-A0F8-3986E849FDA0}" name="個人／事業所数" dataCellStyle="桁区切り"/>
    <tableColumn id="13" xr3:uid="{07ECDE73-A23C-4753-9451-4A790B781591}" name="個人／構成比" dataDxfId="298"/>
    <tableColumn id="14" xr3:uid="{F37C6774-F9C4-4DFD-AD04-5C6F2FECAA12}" name="法人／事業所数" dataCellStyle="桁区切り"/>
    <tableColumn id="15" xr3:uid="{336BDE32-7237-41D9-8521-04CB8318C7C9}" name="法人／構成比" dataDxfId="297"/>
    <tableColumn id="16" xr3:uid="{9044F1B3-3836-41B9-ABEF-404D27EB9766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E5E5D80-C5C7-4BE5-A027-56A29AC04F7B}" name="S_TABLE_23103" displayName="S_TABLE_23103" ref="B46:I66" totalsRowShown="0">
  <autoFilter ref="B46:I66" xr:uid="{7E5E5D80-C5C7-4BE5-A027-56A29AC04F7B}"/>
  <tableColumns count="8">
    <tableColumn id="9" xr3:uid="{261424E9-BCBE-40A8-A7FA-C9F4FE3F98B4}" name="産業小分類上位２０"/>
    <tableColumn id="10" xr3:uid="{704973FE-CD30-4856-82D6-6384FDDC8B20}" name="総数／事業所数" dataCellStyle="桁区切り"/>
    <tableColumn id="11" xr3:uid="{7DCC2760-AAA3-4EA5-9F6A-14C91F6A83BC}" name="総数／構成比" dataDxfId="926"/>
    <tableColumn id="12" xr3:uid="{DF3FF828-9D9F-42F5-8484-12D1744F3AF9}" name="個人／事業所数" dataCellStyle="桁区切り"/>
    <tableColumn id="13" xr3:uid="{E1CA9899-2CA9-428E-A130-D9237FE94159}" name="個人／構成比" dataDxfId="925"/>
    <tableColumn id="14" xr3:uid="{FE1806AD-C0F5-469B-B00B-A1A4D8C7A578}" name="法人／事業所数" dataCellStyle="桁区切り"/>
    <tableColumn id="15" xr3:uid="{38CE8E53-F469-4D4B-84C1-8C1CD7248D4E}" name="法人／構成比" dataDxfId="924"/>
    <tableColumn id="16" xr3:uid="{5FFDFCF2-BF2F-4201-BBFB-AE372AF59754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F8898C9F-DF0B-4EC8-A6CE-05CB02786BAC}" name="S_TABLE_23233" displayName="S_TABLE_23233" ref="B47:I67" totalsRowShown="0">
  <autoFilter ref="B47:I67" xr:uid="{F8898C9F-DF0B-4EC8-A6CE-05CB02786BAC}"/>
  <tableColumns count="8">
    <tableColumn id="9" xr3:uid="{6399D3FF-C115-4F76-82B5-D3E9431D8E49}" name="産業小分類上位２０"/>
    <tableColumn id="10" xr3:uid="{2B7AC718-A70D-48C3-9A5F-50722F49DA63}" name="総数／事業所数" dataCellStyle="桁区切り"/>
    <tableColumn id="11" xr3:uid="{7AE4538E-2D8E-4E19-8073-FF0443F04307}" name="総数／構成比" dataDxfId="296"/>
    <tableColumn id="12" xr3:uid="{76BDDA69-D96A-4F94-AC36-1F1CD18A39EC}" name="個人／事業所数" dataCellStyle="桁区切り"/>
    <tableColumn id="13" xr3:uid="{836EC6C1-FF61-42E7-B644-0C6432679222}" name="個人／構成比" dataDxfId="295"/>
    <tableColumn id="14" xr3:uid="{811AE28D-0103-480D-B5BA-26CCB79834E4}" name="法人／事業所数" dataCellStyle="桁区切り"/>
    <tableColumn id="15" xr3:uid="{EB19457A-E7CE-4C5E-BA52-1B17939F4733}" name="法人／構成比" dataDxfId="294"/>
    <tableColumn id="16" xr3:uid="{999C71BB-5C46-42BF-910B-A82E282331C2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6B360924-2CD3-4526-9D74-859AED85F457}" name="LTBL_23234" displayName="LTBL_23234" ref="B4:I20" totalsRowCount="1">
  <autoFilter ref="B4:I19" xr:uid="{6B360924-2CD3-4526-9D74-859AED85F457}"/>
  <tableColumns count="8">
    <tableColumn id="9" xr3:uid="{6BA00152-EAF0-457D-813D-08C5D5DDFC05}" name="産業大分類" totalsRowLabel="合計" totalsRowDxfId="293"/>
    <tableColumn id="10" xr3:uid="{AAE2BD42-6CD2-46A4-A72B-927570ED6094}" name="総数／事業所数" totalsRowFunction="custom" totalsRowDxfId="292" dataCellStyle="桁区切り" totalsRowCellStyle="桁区切り">
      <totalsRowFormula>SUM(LTBL_23234[総数／事業所数])</totalsRowFormula>
    </tableColumn>
    <tableColumn id="11" xr3:uid="{A01F2DEB-9C51-4554-A86F-CB9A49DCDBB0}" name="総数／構成比" dataDxfId="291"/>
    <tableColumn id="12" xr3:uid="{88483152-383B-45B8-8FB9-4A19925013B8}" name="個人／事業所数" totalsRowFunction="sum" totalsRowDxfId="290" dataCellStyle="桁区切り" totalsRowCellStyle="桁区切り"/>
    <tableColumn id="13" xr3:uid="{4AC66705-B467-47F1-A25C-317E4CFF9B63}" name="個人／構成比" dataDxfId="289"/>
    <tableColumn id="14" xr3:uid="{1D0073FA-BD2D-409D-93B3-981262681377}" name="法人／事業所数" totalsRowFunction="sum" totalsRowDxfId="288" dataCellStyle="桁区切り" totalsRowCellStyle="桁区切り"/>
    <tableColumn id="15" xr3:uid="{7EE6A615-F43D-4BB8-BF9F-E6A49EEF72FF}" name="法人／構成比" dataDxfId="287"/>
    <tableColumn id="16" xr3:uid="{F2ACA3FC-A99C-4F0C-9F05-EC2765719C0B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C4D0B33B-29A6-4874-9314-0BEC5A1BC7C2}" name="M_TABLE_23234" displayName="M_TABLE_23234" ref="B23:I43" totalsRowShown="0">
  <autoFilter ref="B23:I43" xr:uid="{C4D0B33B-29A6-4874-9314-0BEC5A1BC7C2}"/>
  <tableColumns count="8">
    <tableColumn id="9" xr3:uid="{61C9252E-592D-4D8F-8671-6265C3C637EE}" name="産業中分類上位２０"/>
    <tableColumn id="10" xr3:uid="{849B1961-1F3C-49BA-A858-EAB3DFA8BFA4}" name="総数／事業所数" dataCellStyle="桁区切り"/>
    <tableColumn id="11" xr3:uid="{0ECE9C8F-136B-4E35-A061-58A474E37220}" name="総数／構成比" dataDxfId="285"/>
    <tableColumn id="12" xr3:uid="{A34F9539-B189-49FC-9AE1-A054D75F5DE9}" name="個人／事業所数" dataCellStyle="桁区切り"/>
    <tableColumn id="13" xr3:uid="{82813BF5-E552-4E0A-9710-B3C87B968A6D}" name="個人／構成比" dataDxfId="284"/>
    <tableColumn id="14" xr3:uid="{31741445-9B97-4283-92C5-DF8C97321236}" name="法人／事業所数" dataCellStyle="桁区切り"/>
    <tableColumn id="15" xr3:uid="{052BE4F8-7E23-488D-8C64-5EC4E218CE16}" name="法人／構成比" dataDxfId="283"/>
    <tableColumn id="16" xr3:uid="{8BA3FAC6-3EBC-4E1F-B09F-4E8D326DA3A6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F03D6FEC-1597-4522-A2D4-9EA4A03FCE13}" name="S_TABLE_23234" displayName="S_TABLE_23234" ref="B46:I67" totalsRowShown="0">
  <autoFilter ref="B46:I67" xr:uid="{F03D6FEC-1597-4522-A2D4-9EA4A03FCE13}"/>
  <tableColumns count="8">
    <tableColumn id="9" xr3:uid="{8B350580-7526-4628-A2A2-5DA56463AD3D}" name="産業小分類上位２０"/>
    <tableColumn id="10" xr3:uid="{02B6D68D-DFEC-4E21-9CE4-4C06111CB1C9}" name="総数／事業所数" dataCellStyle="桁区切り"/>
    <tableColumn id="11" xr3:uid="{BEC07BDF-D0E1-4A1F-9A1D-E7FB4A45E443}" name="総数／構成比" dataDxfId="282"/>
    <tableColumn id="12" xr3:uid="{87C77AF4-B7BD-40AE-B50C-24AF67626774}" name="個人／事業所数" dataCellStyle="桁区切り"/>
    <tableColumn id="13" xr3:uid="{C43F8F85-056A-4330-89A8-9729538BB889}" name="個人／構成比" dataDxfId="281"/>
    <tableColumn id="14" xr3:uid="{9D0DB0F4-7688-43F7-91E1-DE7F091C18D3}" name="法人／事業所数" dataCellStyle="桁区切り"/>
    <tableColumn id="15" xr3:uid="{70062C9F-6459-481F-8C71-130FB972A667}" name="法人／構成比" dataDxfId="280"/>
    <tableColumn id="16" xr3:uid="{836C719B-D251-419E-8057-D4B32A4F8719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7A75A9B1-0163-4AF9-BDB0-5F2307D1FC6E}" name="LTBL_23235" displayName="LTBL_23235" ref="B4:I20" totalsRowCount="1">
  <autoFilter ref="B4:I19" xr:uid="{7A75A9B1-0163-4AF9-BDB0-5F2307D1FC6E}"/>
  <tableColumns count="8">
    <tableColumn id="9" xr3:uid="{7B3D6F82-B27A-4509-BE2C-CC5E08A530D9}" name="産業大分類" totalsRowLabel="合計" totalsRowDxfId="279"/>
    <tableColumn id="10" xr3:uid="{EEF5A447-4A9F-490E-B4D7-D886D3FEEE04}" name="総数／事業所数" totalsRowFunction="custom" totalsRowDxfId="278" dataCellStyle="桁区切り" totalsRowCellStyle="桁区切り">
      <totalsRowFormula>SUM(LTBL_23235[総数／事業所数])</totalsRowFormula>
    </tableColumn>
    <tableColumn id="11" xr3:uid="{2E20ADFD-54EB-4611-B0D9-EE1A00E3BBCD}" name="総数／構成比" dataDxfId="277"/>
    <tableColumn id="12" xr3:uid="{BFFF5117-88BE-4F65-BC4C-D43AACA866AA}" name="個人／事業所数" totalsRowFunction="sum" totalsRowDxfId="276" dataCellStyle="桁区切り" totalsRowCellStyle="桁区切り"/>
    <tableColumn id="13" xr3:uid="{63FC08C3-2625-46B3-BC24-4A57DFEEF8F1}" name="個人／構成比" dataDxfId="275"/>
    <tableColumn id="14" xr3:uid="{655B985A-2981-4EA4-A3E9-E804A937D45B}" name="法人／事業所数" totalsRowFunction="sum" totalsRowDxfId="274" dataCellStyle="桁区切り" totalsRowCellStyle="桁区切り"/>
    <tableColumn id="15" xr3:uid="{763E9A3D-B37D-482F-B03D-9076D4658A28}" name="法人／構成比" dataDxfId="273"/>
    <tableColumn id="16" xr3:uid="{A13DA900-30E1-4820-9396-2F64B2CB7D2B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4BF33F31-2241-4F90-9552-C51C2B612368}" name="M_TABLE_23235" displayName="M_TABLE_23235" ref="B23:I44" totalsRowShown="0">
  <autoFilter ref="B23:I44" xr:uid="{4BF33F31-2241-4F90-9552-C51C2B612368}"/>
  <tableColumns count="8">
    <tableColumn id="9" xr3:uid="{FB5B7934-80FB-402A-B86B-57C2CB1EC47A}" name="産業中分類上位２０"/>
    <tableColumn id="10" xr3:uid="{9F9022BB-A0F9-4E3B-91E7-2404F21E409B}" name="総数／事業所数" dataCellStyle="桁区切り"/>
    <tableColumn id="11" xr3:uid="{CD362714-DD09-42F6-8405-09DF3D1D8EFE}" name="総数／構成比" dataDxfId="271"/>
    <tableColumn id="12" xr3:uid="{4261AE70-AB70-4D5E-8EFE-1B0F9FB7B3BC}" name="個人／事業所数" dataCellStyle="桁区切り"/>
    <tableColumn id="13" xr3:uid="{EB333208-043D-4974-AEB8-361A49B9334A}" name="個人／構成比" dataDxfId="270"/>
    <tableColumn id="14" xr3:uid="{CCB6863F-6E21-413E-9843-B30C9706227C}" name="法人／事業所数" dataCellStyle="桁区切り"/>
    <tableColumn id="15" xr3:uid="{E85C73A3-8E73-4FD6-8424-BEC01AAB5596}" name="法人／構成比" dataDxfId="269"/>
    <tableColumn id="16" xr3:uid="{F7DBC6B2-E6A5-4142-B1EA-0E9E566A0CF8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C22E019C-286D-49C3-875D-EA60E77F842C}" name="S_TABLE_23235" displayName="S_TABLE_23235" ref="B47:I68" totalsRowShown="0">
  <autoFilter ref="B47:I68" xr:uid="{C22E019C-286D-49C3-875D-EA60E77F842C}"/>
  <tableColumns count="8">
    <tableColumn id="9" xr3:uid="{4FDE4F5C-C26A-4A38-AA50-20908D45F406}" name="産業小分類上位２０"/>
    <tableColumn id="10" xr3:uid="{7EBEEFFF-49E3-4A0E-AF3F-655DFCD8CAD1}" name="総数／事業所数" dataCellStyle="桁区切り"/>
    <tableColumn id="11" xr3:uid="{8A5ED362-90E7-42F7-9271-4D330538A89B}" name="総数／構成比" dataDxfId="268"/>
    <tableColumn id="12" xr3:uid="{1124A580-681F-43B2-9BDE-18987354BA5A}" name="個人／事業所数" dataCellStyle="桁区切り"/>
    <tableColumn id="13" xr3:uid="{D15169DE-1A94-4937-B976-5CAE4C4AC2A9}" name="個人／構成比" dataDxfId="267"/>
    <tableColumn id="14" xr3:uid="{B152EC8D-12F4-49B6-909A-D783B1E944D0}" name="法人／事業所数" dataCellStyle="桁区切り"/>
    <tableColumn id="15" xr3:uid="{219B328E-5BF8-4B60-B9D7-33F342686146}" name="法人／構成比" dataDxfId="266"/>
    <tableColumn id="16" xr3:uid="{2D1615C0-2818-4846-88D9-6453FD9A37D1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119A0E6E-B4E2-41BA-8345-DBD5BB274BCE}" name="LTBL_23236" displayName="LTBL_23236" ref="B4:I20" totalsRowCount="1">
  <autoFilter ref="B4:I19" xr:uid="{119A0E6E-B4E2-41BA-8345-DBD5BB274BCE}"/>
  <tableColumns count="8">
    <tableColumn id="9" xr3:uid="{7AE5D8B6-E458-443D-9360-E83AFB660C2A}" name="産業大分類" totalsRowLabel="合計" totalsRowDxfId="265"/>
    <tableColumn id="10" xr3:uid="{1E27CF56-7129-464A-8A19-8EA7CA9807C6}" name="総数／事業所数" totalsRowFunction="custom" totalsRowDxfId="264" dataCellStyle="桁区切り" totalsRowCellStyle="桁区切り">
      <totalsRowFormula>SUM(LTBL_23236[総数／事業所数])</totalsRowFormula>
    </tableColumn>
    <tableColumn id="11" xr3:uid="{640F5232-CC9D-4905-97E9-66BDB746D039}" name="総数／構成比" dataDxfId="263"/>
    <tableColumn id="12" xr3:uid="{EDB68BE1-4B4E-45F8-95C0-F27EED2D1735}" name="個人／事業所数" totalsRowFunction="sum" totalsRowDxfId="262" dataCellStyle="桁区切り" totalsRowCellStyle="桁区切り"/>
    <tableColumn id="13" xr3:uid="{826CADA1-2C75-46D7-B606-18305194616E}" name="個人／構成比" dataDxfId="261"/>
    <tableColumn id="14" xr3:uid="{7A91DDD2-CF57-4261-8705-EC76380BD4EA}" name="法人／事業所数" totalsRowFunction="sum" totalsRowDxfId="260" dataCellStyle="桁区切り" totalsRowCellStyle="桁区切り"/>
    <tableColumn id="15" xr3:uid="{48215D4F-F495-46AA-9B3F-53D6B97B56E4}" name="法人／構成比" dataDxfId="259"/>
    <tableColumn id="16" xr3:uid="{41E32DD6-52EA-403C-96A6-9A639B380B7D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CBE2344E-485D-417A-8412-EF4EBB446D2A}" name="M_TABLE_23236" displayName="M_TABLE_23236" ref="B23:I44" totalsRowShown="0">
  <autoFilter ref="B23:I44" xr:uid="{CBE2344E-485D-417A-8412-EF4EBB446D2A}"/>
  <tableColumns count="8">
    <tableColumn id="9" xr3:uid="{4BF2C0CD-D779-40B9-943A-17E4D45C9EBE}" name="産業中分類上位２０"/>
    <tableColumn id="10" xr3:uid="{4D24B04C-7465-483A-A7B9-B83EF14DF65C}" name="総数／事業所数" dataCellStyle="桁区切り"/>
    <tableColumn id="11" xr3:uid="{047D2321-D049-44D6-B109-DD8A938697FB}" name="総数／構成比" dataDxfId="257"/>
    <tableColumn id="12" xr3:uid="{B256849C-F61F-4052-B0B2-D4F965B1A169}" name="個人／事業所数" dataCellStyle="桁区切り"/>
    <tableColumn id="13" xr3:uid="{7BFE926B-9FE0-4383-998A-7FAA264DD588}" name="個人／構成比" dataDxfId="256"/>
    <tableColumn id="14" xr3:uid="{E6AEAA52-4D12-4B29-A019-80F916FAC749}" name="法人／事業所数" dataCellStyle="桁区切り"/>
    <tableColumn id="15" xr3:uid="{122ED8BF-F672-4A31-9121-03DC024D5AA3}" name="法人／構成比" dataDxfId="255"/>
    <tableColumn id="16" xr3:uid="{9E02933C-E355-423B-ACA3-E3B46DB48616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6B94DF0E-ADBD-407C-AE8C-2576F86BB4DF}" name="S_TABLE_23236" displayName="S_TABLE_23236" ref="B47:I67" totalsRowShown="0">
  <autoFilter ref="B47:I67" xr:uid="{6B94DF0E-ADBD-407C-AE8C-2576F86BB4DF}"/>
  <tableColumns count="8">
    <tableColumn id="9" xr3:uid="{93CFB3B9-801F-4161-8FCE-C6D424B3DAB9}" name="産業小分類上位２０"/>
    <tableColumn id="10" xr3:uid="{B9CD4B6D-D93F-4CD1-9726-7D0C2BFBBBEB}" name="総数／事業所数" dataCellStyle="桁区切り"/>
    <tableColumn id="11" xr3:uid="{A4B9E82A-EE90-4120-919A-1640137425BA}" name="総数／構成比" dataDxfId="254"/>
    <tableColumn id="12" xr3:uid="{5DC9616D-0746-47F9-8B44-5521C06A431C}" name="個人／事業所数" dataCellStyle="桁区切り"/>
    <tableColumn id="13" xr3:uid="{D6CD4F46-369D-4601-865B-44318D3BF852}" name="個人／構成比" dataDxfId="253"/>
    <tableColumn id="14" xr3:uid="{3D042ECE-50CC-4C6A-A0E8-3175333F83C7}" name="法人／事業所数" dataCellStyle="桁区切り"/>
    <tableColumn id="15" xr3:uid="{D3830935-ABB4-46D7-B4BC-10DD6212B79C}" name="法人／構成比" dataDxfId="252"/>
    <tableColumn id="16" xr3:uid="{143D0B8C-CA54-4C4B-9AAE-583754458EAE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31225FC-7F51-4C90-A0D7-C168DAA6BFF3}" name="LTBL_23104" displayName="LTBL_23104" ref="B4:I20" totalsRowCount="1">
  <autoFilter ref="B4:I19" xr:uid="{931225FC-7F51-4C90-A0D7-C168DAA6BFF3}"/>
  <tableColumns count="8">
    <tableColumn id="9" xr3:uid="{0D62BC16-1C91-44FB-A4F5-749E4FFC3838}" name="産業大分類" totalsRowLabel="合計" totalsRowDxfId="923"/>
    <tableColumn id="10" xr3:uid="{D7C973FE-C991-4642-B955-0032F5A359C4}" name="総数／事業所数" totalsRowFunction="custom" totalsRowDxfId="922" dataCellStyle="桁区切り" totalsRowCellStyle="桁区切り">
      <totalsRowFormula>SUM(LTBL_23104[総数／事業所数])</totalsRowFormula>
    </tableColumn>
    <tableColumn id="11" xr3:uid="{62CC5AF1-054C-4B5D-BEC7-4ED79B2090E2}" name="総数／構成比" dataDxfId="921"/>
    <tableColumn id="12" xr3:uid="{B8C8B12F-E4EF-4E8A-B3DE-E087105FBE30}" name="個人／事業所数" totalsRowFunction="sum" totalsRowDxfId="920" dataCellStyle="桁区切り" totalsRowCellStyle="桁区切り"/>
    <tableColumn id="13" xr3:uid="{D3D36FD1-F4C4-47DD-BACD-2F15347D882F}" name="個人／構成比" dataDxfId="919"/>
    <tableColumn id="14" xr3:uid="{0A3906C6-F46B-4C39-B206-CBF4A4867861}" name="法人／事業所数" totalsRowFunction="sum" totalsRowDxfId="918" dataCellStyle="桁区切り" totalsRowCellStyle="桁区切り"/>
    <tableColumn id="15" xr3:uid="{B95FB190-7911-4298-8767-166CA5F653A1}" name="法人／構成比" dataDxfId="917"/>
    <tableColumn id="16" xr3:uid="{A36CCB8A-973B-4F6C-A750-51833C0B0D50}" name="法人以外の団体／事業所数" totalsRowFunction="sum" totalsRowDxfId="916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1F2DEF18-7FB1-4199-B996-D1E6EABEA093}" name="LTBL_23237" displayName="LTBL_23237" ref="B4:I20" totalsRowCount="1">
  <autoFilter ref="B4:I19" xr:uid="{1F2DEF18-7FB1-4199-B996-D1E6EABEA093}"/>
  <tableColumns count="8">
    <tableColumn id="9" xr3:uid="{946A3032-D061-41DC-9EB3-7142798E1EFC}" name="産業大分類" totalsRowLabel="合計" totalsRowDxfId="251"/>
    <tableColumn id="10" xr3:uid="{B39FD2A4-D661-48EE-80F7-845CFAD17B96}" name="総数／事業所数" totalsRowFunction="custom" totalsRowDxfId="250" dataCellStyle="桁区切り" totalsRowCellStyle="桁区切り">
      <totalsRowFormula>SUM(LTBL_23237[総数／事業所数])</totalsRowFormula>
    </tableColumn>
    <tableColumn id="11" xr3:uid="{DDA31A15-D0BA-4EC1-AEE8-D54ECADA9A5F}" name="総数／構成比" dataDxfId="249"/>
    <tableColumn id="12" xr3:uid="{CB4E1527-BE99-4BBA-AF04-34551B911845}" name="個人／事業所数" totalsRowFunction="sum" totalsRowDxfId="248" dataCellStyle="桁区切り" totalsRowCellStyle="桁区切り"/>
    <tableColumn id="13" xr3:uid="{DB97830E-BABC-48C2-87B8-87FE710E20A0}" name="個人／構成比" dataDxfId="247"/>
    <tableColumn id="14" xr3:uid="{910E78C9-B3E5-4EC6-A268-3320E2ECB439}" name="法人／事業所数" totalsRowFunction="sum" totalsRowDxfId="246" dataCellStyle="桁区切り" totalsRowCellStyle="桁区切り"/>
    <tableColumn id="15" xr3:uid="{B558EC72-676B-4086-8377-46FCD3662F81}" name="法人／構成比" dataDxfId="245"/>
    <tableColumn id="16" xr3:uid="{E83C9FE5-5672-43F8-8966-6D1AD1E039B9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E914FDAC-C06A-4393-BC5A-761DC0B9DD60}" name="M_TABLE_23237" displayName="M_TABLE_23237" ref="B23:I43" totalsRowShown="0">
  <autoFilter ref="B23:I43" xr:uid="{E914FDAC-C06A-4393-BC5A-761DC0B9DD60}"/>
  <tableColumns count="8">
    <tableColumn id="9" xr3:uid="{BB860A2C-FB19-4811-8CF5-5C3E8A7640E9}" name="産業中分類上位２０"/>
    <tableColumn id="10" xr3:uid="{030593F8-12B4-4E4E-AF26-B0E0CE4542BA}" name="総数／事業所数" dataCellStyle="桁区切り"/>
    <tableColumn id="11" xr3:uid="{697B5DBD-06E9-49D2-A187-9FF74F15ABA5}" name="総数／構成比" dataDxfId="243"/>
    <tableColumn id="12" xr3:uid="{73B74FCB-A8B9-469D-BFE2-079DFF6EC4A3}" name="個人／事業所数" dataCellStyle="桁区切り"/>
    <tableColumn id="13" xr3:uid="{B201CE09-55E2-440C-9B3F-0EEA2AA17D92}" name="個人／構成比" dataDxfId="242"/>
    <tableColumn id="14" xr3:uid="{0593826D-4B35-4D69-9FED-55C86B4832EA}" name="法人／事業所数" dataCellStyle="桁区切り"/>
    <tableColumn id="15" xr3:uid="{726F0B22-C8C7-427F-A53B-57B36F332898}" name="法人／構成比" dataDxfId="241"/>
    <tableColumn id="16" xr3:uid="{7B8315E2-3E4F-45A4-9D53-AD06D76E37B5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D05E8C28-DA82-43C3-A1F3-A04219A6E5BB}" name="S_TABLE_23237" displayName="S_TABLE_23237" ref="B46:I69" totalsRowShown="0">
  <autoFilter ref="B46:I69" xr:uid="{D05E8C28-DA82-43C3-A1F3-A04219A6E5BB}"/>
  <tableColumns count="8">
    <tableColumn id="9" xr3:uid="{3F997AF9-8B90-410B-B461-1E67D3CFA6C4}" name="産業小分類上位２０"/>
    <tableColumn id="10" xr3:uid="{EA0D641F-4115-4BA1-84A3-01C31DA8BA6E}" name="総数／事業所数" dataCellStyle="桁区切り"/>
    <tableColumn id="11" xr3:uid="{8D7AB4AA-C826-484F-A4E8-E647D25A3400}" name="総数／構成比" dataDxfId="240"/>
    <tableColumn id="12" xr3:uid="{F8A21AB3-AF85-4CCB-AFA7-16345C2EF99F}" name="個人／事業所数" dataCellStyle="桁区切り"/>
    <tableColumn id="13" xr3:uid="{8AD6B64B-85FA-4FF4-AE6C-70E222B6F5F8}" name="個人／構成比" dataDxfId="239"/>
    <tableColumn id="14" xr3:uid="{457F8C78-4F27-43F7-B92C-E2631149B827}" name="法人／事業所数" dataCellStyle="桁区切り"/>
    <tableColumn id="15" xr3:uid="{AB0007F2-D5C2-434F-A9FE-440E258C825B}" name="法人／構成比" dataDxfId="238"/>
    <tableColumn id="16" xr3:uid="{E73C7279-6A71-48CC-AE01-3EABF5BCF0B0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77F65607-0744-4DB4-A455-0F5A3180E85D}" name="LTBL_23238" displayName="LTBL_23238" ref="B4:I20" totalsRowCount="1">
  <autoFilter ref="B4:I19" xr:uid="{77F65607-0744-4DB4-A455-0F5A3180E85D}"/>
  <tableColumns count="8">
    <tableColumn id="9" xr3:uid="{CCB8AEBB-220A-4596-8726-EDA20DD4025D}" name="産業大分類" totalsRowLabel="合計" totalsRowDxfId="237"/>
    <tableColumn id="10" xr3:uid="{44633B3D-6E6F-448C-9C75-A375E663141B}" name="総数／事業所数" totalsRowFunction="custom" totalsRowDxfId="236" dataCellStyle="桁区切り" totalsRowCellStyle="桁区切り">
      <totalsRowFormula>SUM(LTBL_23238[総数／事業所数])</totalsRowFormula>
    </tableColumn>
    <tableColumn id="11" xr3:uid="{861615E5-C929-4A12-80F5-A04B2F3FA144}" name="総数／構成比" dataDxfId="235"/>
    <tableColumn id="12" xr3:uid="{9B21B072-5A08-4747-814E-AE74D3048B9B}" name="個人／事業所数" totalsRowFunction="sum" totalsRowDxfId="234" dataCellStyle="桁区切り" totalsRowCellStyle="桁区切り"/>
    <tableColumn id="13" xr3:uid="{B6589F2E-5299-40BC-8C7F-023C1E078CF0}" name="個人／構成比" dataDxfId="233"/>
    <tableColumn id="14" xr3:uid="{36221739-3485-49F6-B387-FBF66E5765B6}" name="法人／事業所数" totalsRowFunction="sum" totalsRowDxfId="232" dataCellStyle="桁区切り" totalsRowCellStyle="桁区切り"/>
    <tableColumn id="15" xr3:uid="{7E2ADD2A-26F6-48FD-A3FD-C6E36BD1A7B7}" name="法人／構成比" dataDxfId="231"/>
    <tableColumn id="16" xr3:uid="{B0C7939B-2C2C-4EE1-BEB2-A4C0FD1A5725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5650573D-264C-46C6-912D-BDFE7281FF2B}" name="M_TABLE_23238" displayName="M_TABLE_23238" ref="B23:I43" totalsRowShown="0">
  <autoFilter ref="B23:I43" xr:uid="{5650573D-264C-46C6-912D-BDFE7281FF2B}"/>
  <tableColumns count="8">
    <tableColumn id="9" xr3:uid="{228C89C5-D1B6-4FBF-AD11-3F851314C99B}" name="産業中分類上位２０"/>
    <tableColumn id="10" xr3:uid="{0C0D85EB-DA97-4D65-BC3F-562CF651C3F9}" name="総数／事業所数" dataCellStyle="桁区切り"/>
    <tableColumn id="11" xr3:uid="{F81CE727-E674-4F23-A642-5CBAABBE5B8F}" name="総数／構成比" dataDxfId="229"/>
    <tableColumn id="12" xr3:uid="{EFB94D64-6FAF-4BBE-85D2-80D22D0357B0}" name="個人／事業所数" dataCellStyle="桁区切り"/>
    <tableColumn id="13" xr3:uid="{B25CF916-8769-4544-8FA5-4025CE2EE3D2}" name="個人／構成比" dataDxfId="228"/>
    <tableColumn id="14" xr3:uid="{E77AE03F-0CCF-46C2-99D1-8CDB60222FB0}" name="法人／事業所数" dataCellStyle="桁区切り"/>
    <tableColumn id="15" xr3:uid="{D8CA88AF-6032-4AE7-973E-D39D5D28BDA7}" name="法人／構成比" dataDxfId="227"/>
    <tableColumn id="16" xr3:uid="{939635E1-E245-4865-975B-DE9FC519CAAE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5D409424-C0A1-4758-AC8E-1476F78E74B2}" name="S_TABLE_23238" displayName="S_TABLE_23238" ref="B46:I69" totalsRowShown="0">
  <autoFilter ref="B46:I69" xr:uid="{5D409424-C0A1-4758-AC8E-1476F78E74B2}"/>
  <tableColumns count="8">
    <tableColumn id="9" xr3:uid="{D890B6A4-5199-46FD-A293-E05ECA9AC903}" name="産業小分類上位２０"/>
    <tableColumn id="10" xr3:uid="{1E8A7D7A-0C7B-446B-93C0-A8E5F615D864}" name="総数／事業所数" dataCellStyle="桁区切り"/>
    <tableColumn id="11" xr3:uid="{5E620327-FBD2-40EC-A664-67BB5E4EFE66}" name="総数／構成比" dataDxfId="226"/>
    <tableColumn id="12" xr3:uid="{F882EE6E-D97F-453D-A4C2-7BAEFDB796BB}" name="個人／事業所数" dataCellStyle="桁区切り"/>
    <tableColumn id="13" xr3:uid="{1A3817E3-78EE-4360-8898-75E9CB0D84D6}" name="個人／構成比" dataDxfId="225"/>
    <tableColumn id="14" xr3:uid="{A82E0448-4808-4B65-8F2D-41DD0E457AE5}" name="法人／事業所数" dataCellStyle="桁区切り"/>
    <tableColumn id="15" xr3:uid="{B357AE77-08D3-4E2F-A16B-E41B4D39A679}" name="法人／構成比" dataDxfId="224"/>
    <tableColumn id="16" xr3:uid="{6EE1DA5F-4E13-4E56-9D61-8BA9C1D58552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CE90AA2D-5F3E-4222-87A7-480E30D6CBF5}" name="LTBL_23302" displayName="LTBL_23302" ref="B4:I20" totalsRowCount="1">
  <autoFilter ref="B4:I19" xr:uid="{CE90AA2D-5F3E-4222-87A7-480E30D6CBF5}"/>
  <tableColumns count="8">
    <tableColumn id="9" xr3:uid="{C7DB5304-8209-4CB1-9E7B-7CD641988FBF}" name="産業大分類" totalsRowLabel="合計" totalsRowDxfId="223"/>
    <tableColumn id="10" xr3:uid="{C16D0D2F-F3E8-4520-ABF0-AAA487E8E9CE}" name="総数／事業所数" totalsRowFunction="custom" totalsRowDxfId="222" dataCellStyle="桁区切り" totalsRowCellStyle="桁区切り">
      <totalsRowFormula>SUM(LTBL_23302[総数／事業所数])</totalsRowFormula>
    </tableColumn>
    <tableColumn id="11" xr3:uid="{9C331F1A-14DB-4B96-9DD9-F21D092620A5}" name="総数／構成比" dataDxfId="221"/>
    <tableColumn id="12" xr3:uid="{DEE3C84B-DCCE-46E1-8979-C22F46E377D6}" name="個人／事業所数" totalsRowFunction="sum" totalsRowDxfId="220" dataCellStyle="桁区切り" totalsRowCellStyle="桁区切り"/>
    <tableColumn id="13" xr3:uid="{0961EB13-1311-429C-BB73-10D62BAFAFA6}" name="個人／構成比" dataDxfId="219"/>
    <tableColumn id="14" xr3:uid="{170D82EC-1157-4A02-B9A2-333554C24049}" name="法人／事業所数" totalsRowFunction="sum" totalsRowDxfId="218" dataCellStyle="桁区切り" totalsRowCellStyle="桁区切り"/>
    <tableColumn id="15" xr3:uid="{7E414739-FBE3-437E-AB15-389A70F43921}" name="法人／構成比" dataDxfId="217"/>
    <tableColumn id="16" xr3:uid="{5C4D8FBF-9405-4CCA-A82F-8F4D52E7EDCA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50436B81-92AD-477C-BE81-92D71C78940E}" name="M_TABLE_23302" displayName="M_TABLE_23302" ref="B23:I43" totalsRowShown="0">
  <autoFilter ref="B23:I43" xr:uid="{50436B81-92AD-477C-BE81-92D71C78940E}"/>
  <tableColumns count="8">
    <tableColumn id="9" xr3:uid="{1372509C-3996-4AD6-AD09-5F4102A196A8}" name="産業中分類上位２０"/>
    <tableColumn id="10" xr3:uid="{7CBF450A-59CE-48B9-A2DD-6FA1FD66F2D9}" name="総数／事業所数" dataCellStyle="桁区切り"/>
    <tableColumn id="11" xr3:uid="{C9AA6BF8-6707-4045-BE45-E992E303A37C}" name="総数／構成比" dataDxfId="215"/>
    <tableColumn id="12" xr3:uid="{0CBE5E84-B6A9-493F-8B4A-24499FB50F73}" name="個人／事業所数" dataCellStyle="桁区切り"/>
    <tableColumn id="13" xr3:uid="{E7D06A10-63B2-4E18-B9E6-AB560F43C01D}" name="個人／構成比" dataDxfId="214"/>
    <tableColumn id="14" xr3:uid="{0EF251CB-3D93-43E9-BAC2-87B0B1715DBD}" name="法人／事業所数" dataCellStyle="桁区切り"/>
    <tableColumn id="15" xr3:uid="{8F4FBBE0-672A-4DF1-934B-5B8FC3BE7D3E}" name="法人／構成比" dataDxfId="213"/>
    <tableColumn id="16" xr3:uid="{B895FB70-1C25-47F9-96C3-AE7E394163C8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EC893A8D-E4DB-4942-86EF-D5C1BD83424E}" name="S_TABLE_23302" displayName="S_TABLE_23302" ref="B46:I70" totalsRowShown="0">
  <autoFilter ref="B46:I70" xr:uid="{EC893A8D-E4DB-4942-86EF-D5C1BD83424E}"/>
  <tableColumns count="8">
    <tableColumn id="9" xr3:uid="{256869B0-387A-4A53-9A83-E20B58A31388}" name="産業小分類上位２０"/>
    <tableColumn id="10" xr3:uid="{CE62AFCE-6CE6-4368-8AFA-35EB358491AF}" name="総数／事業所数" dataCellStyle="桁区切り"/>
    <tableColumn id="11" xr3:uid="{E304CB8E-5E31-4267-AFE3-8BC31B53D4D2}" name="総数／構成比" dataDxfId="212"/>
    <tableColumn id="12" xr3:uid="{00CBC4E0-B5B5-48E3-A6D3-CAAAD82F328F}" name="個人／事業所数" dataCellStyle="桁区切り"/>
    <tableColumn id="13" xr3:uid="{B9E54CCB-4BF3-4C3D-899E-EF18B84514F6}" name="個人／構成比" dataDxfId="211"/>
    <tableColumn id="14" xr3:uid="{D55632CB-10D7-4D8D-B8AC-802A9F417D43}" name="法人／事業所数" dataCellStyle="桁区切り"/>
    <tableColumn id="15" xr3:uid="{37CEDE04-1CA3-4027-9952-096155A56D14}" name="法人／構成比" dataDxfId="210"/>
    <tableColumn id="16" xr3:uid="{B409840D-123B-46F8-AA20-4115473FE460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FE1E76F7-05F7-4CA2-B177-22B449578A17}" name="LTBL_23342" displayName="LTBL_23342" ref="B4:I20" totalsRowCount="1">
  <autoFilter ref="B4:I19" xr:uid="{FE1E76F7-05F7-4CA2-B177-22B449578A17}"/>
  <tableColumns count="8">
    <tableColumn id="9" xr3:uid="{6AE10205-8F3A-4818-BA65-C1464E31EDE5}" name="産業大分類" totalsRowLabel="合計" totalsRowDxfId="209"/>
    <tableColumn id="10" xr3:uid="{CEEE5BA9-8632-4DEF-BA15-3DCA6E2C1D0A}" name="総数／事業所数" totalsRowFunction="custom" totalsRowDxfId="208" dataCellStyle="桁区切り" totalsRowCellStyle="桁区切り">
      <totalsRowFormula>SUM(LTBL_23342[総数／事業所数])</totalsRowFormula>
    </tableColumn>
    <tableColumn id="11" xr3:uid="{47AD5AC7-FB0F-4EF7-B651-514C47AAD4BA}" name="総数／構成比" dataDxfId="207"/>
    <tableColumn id="12" xr3:uid="{972D8263-9D2F-442E-8083-0BCAC25B1AA6}" name="個人／事業所数" totalsRowFunction="sum" totalsRowDxfId="206" dataCellStyle="桁区切り" totalsRowCellStyle="桁区切り"/>
    <tableColumn id="13" xr3:uid="{F5C9D862-5C72-45A7-85D6-1ECFE6D61F28}" name="個人／構成比" dataDxfId="205"/>
    <tableColumn id="14" xr3:uid="{99E3F1B1-2E3E-4F42-BFBE-891D24C907A6}" name="法人／事業所数" totalsRowFunction="sum" totalsRowDxfId="204" dataCellStyle="桁区切り" totalsRowCellStyle="桁区切り"/>
    <tableColumn id="15" xr3:uid="{BCF5A718-01CF-477B-8E2B-2B0BFF91FB50}" name="法人／構成比" dataDxfId="203"/>
    <tableColumn id="16" xr3:uid="{9FBA565B-775D-4115-8929-41F2B0C904E6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711D171-E0DC-4B56-9A83-E972809ED3AE}" name="M_TABLE_23104" displayName="M_TABLE_23104" ref="B23:I43" totalsRowShown="0">
  <autoFilter ref="B23:I43" xr:uid="{B711D171-E0DC-4B56-9A83-E972809ED3AE}"/>
  <tableColumns count="8">
    <tableColumn id="9" xr3:uid="{DE10AAF8-FA76-469C-9DBE-B283C66BA681}" name="産業中分類上位２０"/>
    <tableColumn id="10" xr3:uid="{F6F4AACB-0308-4A8C-8254-317E0DA317AF}" name="総数／事業所数" dataCellStyle="桁区切り"/>
    <tableColumn id="11" xr3:uid="{230FA548-3431-42B7-BF21-127C9A620BB2}" name="総数／構成比" dataDxfId="915"/>
    <tableColumn id="12" xr3:uid="{B7440DA9-A5E0-469B-ABBB-0783727C554A}" name="個人／事業所数" dataCellStyle="桁区切り"/>
    <tableColumn id="13" xr3:uid="{D8B166F9-6B35-4795-8BF8-A167816E2AFA}" name="個人／構成比" dataDxfId="914"/>
    <tableColumn id="14" xr3:uid="{37315A49-9C4E-437F-AA20-0C419A5719E2}" name="法人／事業所数" dataCellStyle="桁区切り"/>
    <tableColumn id="15" xr3:uid="{E5AB6F47-048B-4135-83AB-D07C9A9A36B1}" name="法人／構成比" dataDxfId="913"/>
    <tableColumn id="16" xr3:uid="{6829B5F1-4F5A-4C4B-82BF-FAA46EE380DA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3273E0E1-44D0-4A1D-A1C3-3CB3A0728878}" name="M_TABLE_23342" displayName="M_TABLE_23342" ref="B23:I45" totalsRowShown="0">
  <autoFilter ref="B23:I45" xr:uid="{3273E0E1-44D0-4A1D-A1C3-3CB3A0728878}"/>
  <tableColumns count="8">
    <tableColumn id="9" xr3:uid="{B9969195-0398-4B8C-8F1F-BB1EF15E727D}" name="産業中分類上位２０"/>
    <tableColumn id="10" xr3:uid="{F9878952-E4C7-4A0B-8CCF-F893EA63DB20}" name="総数／事業所数" dataCellStyle="桁区切り"/>
    <tableColumn id="11" xr3:uid="{F83741B2-C9CB-43F5-B1AD-554FFF850B34}" name="総数／構成比" dataDxfId="201"/>
    <tableColumn id="12" xr3:uid="{BE86D3C1-6533-4BD0-AC09-765A5AF21080}" name="個人／事業所数" dataCellStyle="桁区切り"/>
    <tableColumn id="13" xr3:uid="{19DCC05C-B893-4BAE-A5F7-DF3D175274F1}" name="個人／構成比" dataDxfId="200"/>
    <tableColumn id="14" xr3:uid="{B47726E6-88DB-478D-B60C-B82F8167190A}" name="法人／事業所数" dataCellStyle="桁区切り"/>
    <tableColumn id="15" xr3:uid="{A7462D4A-1796-47D7-A3B9-49F211015364}" name="法人／構成比" dataDxfId="199"/>
    <tableColumn id="16" xr3:uid="{FF4DA14E-85C9-4F73-B073-E0F1FF23E584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37AEFD0F-A428-49B7-964D-44877DBD4B5D}" name="S_TABLE_23342" displayName="S_TABLE_23342" ref="B48:I69" totalsRowShown="0">
  <autoFilter ref="B48:I69" xr:uid="{37AEFD0F-A428-49B7-964D-44877DBD4B5D}"/>
  <tableColumns count="8">
    <tableColumn id="9" xr3:uid="{BC9ADAD1-E526-43CB-B182-96592760C7E5}" name="産業小分類上位２０"/>
    <tableColumn id="10" xr3:uid="{FC6E655D-E6D7-4F3D-B2E6-B167918C0AC8}" name="総数／事業所数" dataCellStyle="桁区切り"/>
    <tableColumn id="11" xr3:uid="{89A15A21-F33C-4ABE-85B9-48F26D1C0637}" name="総数／構成比" dataDxfId="198"/>
    <tableColumn id="12" xr3:uid="{50E25BED-F081-4765-AAC7-309D5BE3AB17}" name="個人／事業所数" dataCellStyle="桁区切り"/>
    <tableColumn id="13" xr3:uid="{E9C169C8-A159-444B-9DE0-F29C5DFF287F}" name="個人／構成比" dataDxfId="197"/>
    <tableColumn id="14" xr3:uid="{6A77821B-C080-4387-90AC-74E211D714E4}" name="法人／事業所数" dataCellStyle="桁区切り"/>
    <tableColumn id="15" xr3:uid="{64CA778D-701F-44DD-B29A-629C0EFFC627}" name="法人／構成比" dataDxfId="196"/>
    <tableColumn id="16" xr3:uid="{2418763C-952A-4F1C-9569-89D449A029A9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5D953DC2-77A3-4784-BA09-73ED60C1C153}" name="LTBL_23361" displayName="LTBL_23361" ref="B4:I20" totalsRowCount="1">
  <autoFilter ref="B4:I19" xr:uid="{5D953DC2-77A3-4784-BA09-73ED60C1C153}"/>
  <tableColumns count="8">
    <tableColumn id="9" xr3:uid="{569DE1A5-974B-41DE-B028-C967D8C32512}" name="産業大分類" totalsRowLabel="合計" totalsRowDxfId="195"/>
    <tableColumn id="10" xr3:uid="{254BB9E9-D724-46DA-BC0F-38029D8EA892}" name="総数／事業所数" totalsRowFunction="custom" totalsRowDxfId="194" dataCellStyle="桁区切り" totalsRowCellStyle="桁区切り">
      <totalsRowFormula>SUM(LTBL_23361[総数／事業所数])</totalsRowFormula>
    </tableColumn>
    <tableColumn id="11" xr3:uid="{BE7CB080-DCEE-4D43-935B-E3039B446D77}" name="総数／構成比" dataDxfId="193"/>
    <tableColumn id="12" xr3:uid="{8A12EE51-8E1A-4FB6-93A1-1CEF9F9DEDAC}" name="個人／事業所数" totalsRowFunction="sum" totalsRowDxfId="192" dataCellStyle="桁区切り" totalsRowCellStyle="桁区切り"/>
    <tableColumn id="13" xr3:uid="{CB3016C0-6A41-4251-8FD8-805E30D96762}" name="個人／構成比" dataDxfId="191"/>
    <tableColumn id="14" xr3:uid="{D3DF5F64-6E4E-4651-AB9A-4804D0424CDC}" name="法人／事業所数" totalsRowFunction="sum" totalsRowDxfId="190" dataCellStyle="桁区切り" totalsRowCellStyle="桁区切り"/>
    <tableColumn id="15" xr3:uid="{63CAB757-8053-41AB-944F-4EE2ABB7587D}" name="法人／構成比" dataDxfId="189"/>
    <tableColumn id="16" xr3:uid="{D36F7866-1217-4284-8FB7-924F0AAC3B35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44E95C01-F19F-4E81-9646-D7F006BCB856}" name="M_TABLE_23361" displayName="M_TABLE_23361" ref="B23:I44" totalsRowShown="0">
  <autoFilter ref="B23:I44" xr:uid="{44E95C01-F19F-4E81-9646-D7F006BCB856}"/>
  <tableColumns count="8">
    <tableColumn id="9" xr3:uid="{2A59D243-54A3-4569-88C6-B4D4EE7C59C9}" name="産業中分類上位２０"/>
    <tableColumn id="10" xr3:uid="{E4A0F084-3796-4855-BCC4-DB17F23FF55A}" name="総数／事業所数" dataCellStyle="桁区切り"/>
    <tableColumn id="11" xr3:uid="{088BDC69-2BB1-4CCB-AD68-89148309DD47}" name="総数／構成比" dataDxfId="187"/>
    <tableColumn id="12" xr3:uid="{1F51D176-6E2E-4F73-A73A-0F79412AAB82}" name="個人／事業所数" dataCellStyle="桁区切り"/>
    <tableColumn id="13" xr3:uid="{58AD9881-896A-4F92-B87B-3AB8F2CAFAE2}" name="個人／構成比" dataDxfId="186"/>
    <tableColumn id="14" xr3:uid="{D9C2526E-BE81-4633-B94C-CC3E112CCF32}" name="法人／事業所数" dataCellStyle="桁区切り"/>
    <tableColumn id="15" xr3:uid="{9A7DAC6E-AE42-4CA8-A2ED-46D0893ABDA5}" name="法人／構成比" dataDxfId="185"/>
    <tableColumn id="16" xr3:uid="{C0F8E3B4-3322-422A-B611-23E0DBFA64C1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A751C466-876E-4A3B-9676-512E97ED7730}" name="S_TABLE_23361" displayName="S_TABLE_23361" ref="B47:I70" totalsRowShown="0">
  <autoFilter ref="B47:I70" xr:uid="{A751C466-876E-4A3B-9676-512E97ED7730}"/>
  <tableColumns count="8">
    <tableColumn id="9" xr3:uid="{C8813FC2-0F7B-41B3-A159-9CD890CA49D9}" name="産業小分類上位２０"/>
    <tableColumn id="10" xr3:uid="{669CBCF9-CB10-424B-B8FE-878B26C3A405}" name="総数／事業所数" dataCellStyle="桁区切り"/>
    <tableColumn id="11" xr3:uid="{B3FDFE98-BA6C-40F5-B1F6-F2CE198A4ACF}" name="総数／構成比" dataDxfId="184"/>
    <tableColumn id="12" xr3:uid="{21C96A8C-E092-4CE6-BDC2-4E74B6A83A12}" name="個人／事業所数" dataCellStyle="桁区切り"/>
    <tableColumn id="13" xr3:uid="{8FE726DF-54B0-4AA5-BAC0-A2CC463ACB0E}" name="個人／構成比" dataDxfId="183"/>
    <tableColumn id="14" xr3:uid="{9F35F092-AD8C-40D6-B12C-5EC9CD41AFE6}" name="法人／事業所数" dataCellStyle="桁区切り"/>
    <tableColumn id="15" xr3:uid="{9C2045C1-C8CD-4BD5-88C0-8C851C61BB01}" name="法人／構成比" dataDxfId="182"/>
    <tableColumn id="16" xr3:uid="{7ABE6BBC-9D8F-4FBB-86AA-E374957A2B0E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B8E02BD8-44CD-4A32-8DCD-5D0354A53F5C}" name="LTBL_23362" displayName="LTBL_23362" ref="B4:I20" totalsRowCount="1">
  <autoFilter ref="B4:I19" xr:uid="{B8E02BD8-44CD-4A32-8DCD-5D0354A53F5C}"/>
  <tableColumns count="8">
    <tableColumn id="9" xr3:uid="{331B1768-E465-4D98-868D-68D494608BF3}" name="産業大分類" totalsRowLabel="合計" totalsRowDxfId="181"/>
    <tableColumn id="10" xr3:uid="{9A6B1915-81FF-4524-AFC0-681EE07D4A17}" name="総数／事業所数" totalsRowFunction="custom" totalsRowDxfId="180" dataCellStyle="桁区切り" totalsRowCellStyle="桁区切り">
      <totalsRowFormula>SUM(LTBL_23362[総数／事業所数])</totalsRowFormula>
    </tableColumn>
    <tableColumn id="11" xr3:uid="{98D8262B-860B-48ED-913B-E2274524D7D1}" name="総数／構成比" dataDxfId="179"/>
    <tableColumn id="12" xr3:uid="{684AF03D-5869-4BD2-87EE-6ED336E7FC9B}" name="個人／事業所数" totalsRowFunction="sum" totalsRowDxfId="178" dataCellStyle="桁区切り" totalsRowCellStyle="桁区切り"/>
    <tableColumn id="13" xr3:uid="{84915D46-ADDD-474B-B53D-9F19E422EEAE}" name="個人／構成比" dataDxfId="177"/>
    <tableColumn id="14" xr3:uid="{2C43DF59-DCF6-4012-8787-0A652C48C5CF}" name="法人／事業所数" totalsRowFunction="sum" totalsRowDxfId="176" dataCellStyle="桁区切り" totalsRowCellStyle="桁区切り"/>
    <tableColumn id="15" xr3:uid="{31A55118-BEDD-4777-83CE-20425AF4376E}" name="法人／構成比" dataDxfId="175"/>
    <tableColumn id="16" xr3:uid="{B9F04356-00B1-4239-A283-09A6E1EE45C0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68F55598-8EEE-4D37-BE6C-4A417FD3170A}" name="M_TABLE_23362" displayName="M_TABLE_23362" ref="B23:I43" totalsRowShown="0">
  <autoFilter ref="B23:I43" xr:uid="{68F55598-8EEE-4D37-BE6C-4A417FD3170A}"/>
  <tableColumns count="8">
    <tableColumn id="9" xr3:uid="{4F4BED28-40FA-4421-BB70-5F599CDC8116}" name="産業中分類上位２０"/>
    <tableColumn id="10" xr3:uid="{040A2013-48F9-4E41-A227-8DED4F45F98F}" name="総数／事業所数" dataCellStyle="桁区切り"/>
    <tableColumn id="11" xr3:uid="{66EEDA71-A562-4E62-B49F-F44EDF070A89}" name="総数／構成比" dataDxfId="173"/>
    <tableColumn id="12" xr3:uid="{007EA69E-15EB-45D3-94C0-3A023EEFC6C2}" name="個人／事業所数" dataCellStyle="桁区切り"/>
    <tableColumn id="13" xr3:uid="{6DDC5562-D3EE-4E84-9B7A-6C52F91FBF04}" name="個人／構成比" dataDxfId="172"/>
    <tableColumn id="14" xr3:uid="{53868A50-650E-4174-B3AC-3490B7A15320}" name="法人／事業所数" dataCellStyle="桁区切り"/>
    <tableColumn id="15" xr3:uid="{CA8DFAC7-514F-4E92-B3C7-CDD3923071A3}" name="法人／構成比" dataDxfId="171"/>
    <tableColumn id="16" xr3:uid="{9AE49524-6204-4765-BEE7-7A7C8F5FBBAC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8AA02FCB-89CB-4005-BFFC-4F5D847B69B3}" name="S_TABLE_23362" displayName="S_TABLE_23362" ref="B46:I66" totalsRowShown="0">
  <autoFilter ref="B46:I66" xr:uid="{8AA02FCB-89CB-4005-BFFC-4F5D847B69B3}"/>
  <tableColumns count="8">
    <tableColumn id="9" xr3:uid="{28067786-73E9-4460-A486-1CF2D24C04C2}" name="産業小分類上位２０"/>
    <tableColumn id="10" xr3:uid="{57831E7B-672E-4CA2-83F3-C7AC1297F4AC}" name="総数／事業所数" dataCellStyle="桁区切り"/>
    <tableColumn id="11" xr3:uid="{90560C9E-5406-4374-8325-474944F96EFA}" name="総数／構成比" dataDxfId="170"/>
    <tableColumn id="12" xr3:uid="{6E8E0FFA-D568-4CE8-A931-AEDB97D5646A}" name="個人／事業所数" dataCellStyle="桁区切り"/>
    <tableColumn id="13" xr3:uid="{C7E12984-B2F8-4771-8D8F-3AD8FE66F6C5}" name="個人／構成比" dataDxfId="169"/>
    <tableColumn id="14" xr3:uid="{6EDDB594-30AB-42D1-8836-721B743422E1}" name="法人／事業所数" dataCellStyle="桁区切り"/>
    <tableColumn id="15" xr3:uid="{8FB11914-7484-4FB1-A82F-EF2FD5C9B300}" name="法人／構成比" dataDxfId="168"/>
    <tableColumn id="16" xr3:uid="{B2BBBA22-AFC2-4637-BBD9-772768056ACF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7FCA978D-D2F3-4B41-A798-DC29BD7D8183}" name="LTBL_23424" displayName="LTBL_23424" ref="B4:I20" totalsRowCount="1">
  <autoFilter ref="B4:I19" xr:uid="{7FCA978D-D2F3-4B41-A798-DC29BD7D8183}"/>
  <tableColumns count="8">
    <tableColumn id="9" xr3:uid="{66D7F869-E781-4057-8BF8-6A68F6A32ACE}" name="産業大分類" totalsRowLabel="合計" totalsRowDxfId="167"/>
    <tableColumn id="10" xr3:uid="{F7F7DB0B-EC93-42CF-86E7-02E04FA8F6B7}" name="総数／事業所数" totalsRowFunction="custom" totalsRowDxfId="166" dataCellStyle="桁区切り" totalsRowCellStyle="桁区切り">
      <totalsRowFormula>SUM(LTBL_23424[総数／事業所数])</totalsRowFormula>
    </tableColumn>
    <tableColumn id="11" xr3:uid="{95541C22-A13E-41C2-A2BC-7877864AE5CD}" name="総数／構成比" dataDxfId="165"/>
    <tableColumn id="12" xr3:uid="{BA17729B-11D9-434B-AC00-3E4486DFBA8F}" name="個人／事業所数" totalsRowFunction="sum" totalsRowDxfId="164" dataCellStyle="桁区切り" totalsRowCellStyle="桁区切り"/>
    <tableColumn id="13" xr3:uid="{A11EA280-82DD-4021-BFDE-EC157F5737DA}" name="個人／構成比" dataDxfId="163"/>
    <tableColumn id="14" xr3:uid="{6CABDC47-D9E1-4EB9-892C-498CCE0FE9D6}" name="法人／事業所数" totalsRowFunction="sum" totalsRowDxfId="162" dataCellStyle="桁区切り" totalsRowCellStyle="桁区切り"/>
    <tableColumn id="15" xr3:uid="{06C2F194-C2AC-42F1-B7EE-00664DAE67BF}" name="法人／構成比" dataDxfId="161"/>
    <tableColumn id="16" xr3:uid="{983E9736-C2E0-4E24-8A54-8D44F6BCB18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4BFCEF20-C883-47D3-9F4F-3E8FAB7DEF74}" name="M_TABLE_23424" displayName="M_TABLE_23424" ref="B23:I44" totalsRowShown="0">
  <autoFilter ref="B23:I44" xr:uid="{4BFCEF20-C883-47D3-9F4F-3E8FAB7DEF74}"/>
  <tableColumns count="8">
    <tableColumn id="9" xr3:uid="{FF08CCF1-3F9D-4E3C-B79C-A744CFD33D78}" name="産業中分類上位２０"/>
    <tableColumn id="10" xr3:uid="{6303D41C-2DD2-4504-BADA-E9DDFC077328}" name="総数／事業所数" dataCellStyle="桁区切り"/>
    <tableColumn id="11" xr3:uid="{1E81F349-5B4F-4E40-94EC-3482B2A6E549}" name="総数／構成比" dataDxfId="159"/>
    <tableColumn id="12" xr3:uid="{CBBAA9E8-C23D-4757-80EE-3EA5AD71477F}" name="個人／事業所数" dataCellStyle="桁区切り"/>
    <tableColumn id="13" xr3:uid="{41E1A052-5D0B-446B-B8B9-08A2882FDB42}" name="個人／構成比" dataDxfId="158"/>
    <tableColumn id="14" xr3:uid="{B84CB713-FEB4-4A5D-8AAD-FFBFD0779572}" name="法人／事業所数" dataCellStyle="桁区切り"/>
    <tableColumn id="15" xr3:uid="{4F3D2A85-23E7-4961-B690-F8AFCBB00997}" name="法人／構成比" dataDxfId="157"/>
    <tableColumn id="16" xr3:uid="{A87582A2-5FAC-47EC-A588-3C3621D9DC6B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1E4C17C-02F5-4A3C-805A-92AC63353C5A}" name="S_TABLE_23104" displayName="S_TABLE_23104" ref="B46:I67" totalsRowShown="0">
  <autoFilter ref="B46:I67" xr:uid="{A1E4C17C-02F5-4A3C-805A-92AC63353C5A}"/>
  <tableColumns count="8">
    <tableColumn id="9" xr3:uid="{3EB9AA92-D53D-4802-9C7C-90586882C94A}" name="産業小分類上位２０"/>
    <tableColumn id="10" xr3:uid="{0888B6C8-9167-438B-9FD4-9ED2F0DB5A33}" name="総数／事業所数" dataCellStyle="桁区切り"/>
    <tableColumn id="11" xr3:uid="{509EF7DC-404A-4C47-989C-5C62E75DF57E}" name="総数／構成比" dataDxfId="912"/>
    <tableColumn id="12" xr3:uid="{A54E62DE-6B37-4DFF-9805-5CC0CD95A781}" name="個人／事業所数" dataCellStyle="桁区切り"/>
    <tableColumn id="13" xr3:uid="{4A3F957E-725A-4F5A-86E0-84051B417E60}" name="個人／構成比" dataDxfId="911"/>
    <tableColumn id="14" xr3:uid="{26103A66-5969-43D4-A932-4AD9779B3FDB}" name="法人／事業所数" dataCellStyle="桁区切り"/>
    <tableColumn id="15" xr3:uid="{8B7B90E3-330D-4FE1-8180-8A9DE19B1AB1}" name="法人／構成比" dataDxfId="910"/>
    <tableColumn id="16" xr3:uid="{FABB2B6E-AD04-408D-A209-4F922253A3B7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B321B1B-F776-4C43-8101-5AE8F0470688}" name="S_TABLE_23424" displayName="S_TABLE_23424" ref="B47:I67" totalsRowShown="0">
  <autoFilter ref="B47:I67" xr:uid="{0B321B1B-F776-4C43-8101-5AE8F0470688}"/>
  <tableColumns count="8">
    <tableColumn id="9" xr3:uid="{941A9E5E-AB4A-4A38-8EEA-A62402B37450}" name="産業小分類上位２０"/>
    <tableColumn id="10" xr3:uid="{582975EC-28A9-46A8-8A6C-272BC21880C9}" name="総数／事業所数" dataCellStyle="桁区切り"/>
    <tableColumn id="11" xr3:uid="{E1880BDB-FD76-4BB4-A31E-4F9ED45C7844}" name="総数／構成比" dataDxfId="156"/>
    <tableColumn id="12" xr3:uid="{79953FE1-1CEA-4773-B755-66CDCCF86424}" name="個人／事業所数" dataCellStyle="桁区切り"/>
    <tableColumn id="13" xr3:uid="{5015CB0C-CE53-4787-9B43-9795D662BE05}" name="個人／構成比" dataDxfId="155"/>
    <tableColumn id="14" xr3:uid="{36C6EA00-08BB-4664-9B26-171A3E8940B3}" name="法人／事業所数" dataCellStyle="桁区切り"/>
    <tableColumn id="15" xr3:uid="{7D74B353-453D-4C4F-A473-A911FFC2D6BB}" name="法人／構成比" dataDxfId="154"/>
    <tableColumn id="16" xr3:uid="{D3ADBF1C-82FC-41A5-B234-F4EA6A1491C3}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91525CD1-3D2D-445E-8C09-F6BDE9E7CB81}" name="LTBL_23425" displayName="LTBL_23425" ref="B4:I20" totalsRowCount="1">
  <autoFilter ref="B4:I19" xr:uid="{91525CD1-3D2D-445E-8C09-F6BDE9E7CB81}"/>
  <tableColumns count="8">
    <tableColumn id="9" xr3:uid="{E2ACF4FD-0668-4889-933A-A0C6A2C77CCE}" name="産業大分類" totalsRowLabel="合計" totalsRowDxfId="153"/>
    <tableColumn id="10" xr3:uid="{A5C2C3A9-83F5-46B2-A491-5D0E09C8AC2B}" name="総数／事業所数" totalsRowFunction="custom" totalsRowDxfId="152" dataCellStyle="桁区切り" totalsRowCellStyle="桁区切り">
      <totalsRowFormula>SUM(LTBL_23425[総数／事業所数])</totalsRowFormula>
    </tableColumn>
    <tableColumn id="11" xr3:uid="{AF0FFD3F-D612-4AD7-BB6C-016D40E97080}" name="総数／構成比" dataDxfId="151"/>
    <tableColumn id="12" xr3:uid="{3924BD5A-1887-4DCD-A257-2B8E9A3FB826}" name="個人／事業所数" totalsRowFunction="sum" totalsRowDxfId="150" dataCellStyle="桁区切り" totalsRowCellStyle="桁区切り"/>
    <tableColumn id="13" xr3:uid="{6D44EFFA-BD0D-4911-BBB2-42D5EC34428F}" name="個人／構成比" dataDxfId="149"/>
    <tableColumn id="14" xr3:uid="{4556BD3F-981B-47C9-8FDF-5FFDF912DE95}" name="法人／事業所数" totalsRowFunction="sum" totalsRowDxfId="148" dataCellStyle="桁区切り" totalsRowCellStyle="桁区切り"/>
    <tableColumn id="15" xr3:uid="{AA7F7AA8-F4AD-4978-AA0E-5D1E91CBC148}" name="法人／構成比" dataDxfId="147"/>
    <tableColumn id="16" xr3:uid="{68363A22-B69F-4AE4-9091-9F7CA102FA83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B078247A-8E50-4658-B977-D5B20C8B10D9}" name="M_TABLE_23425" displayName="M_TABLE_23425" ref="B23:I44" totalsRowShown="0">
  <autoFilter ref="B23:I44" xr:uid="{B078247A-8E50-4658-B977-D5B20C8B10D9}"/>
  <tableColumns count="8">
    <tableColumn id="9" xr3:uid="{012CFC0B-C430-435D-824F-B197E51FCF2A}" name="産業中分類上位２０"/>
    <tableColumn id="10" xr3:uid="{110FACE1-9A16-49DD-B08C-F84075B543AE}" name="総数／事業所数" dataCellStyle="桁区切り"/>
    <tableColumn id="11" xr3:uid="{74D914B3-D4B5-40C0-8067-6803CF06670F}" name="総数／構成比" dataDxfId="145"/>
    <tableColumn id="12" xr3:uid="{39FE247E-BB25-4D0C-A8CF-6FDE6608C784}" name="個人／事業所数" dataCellStyle="桁区切り"/>
    <tableColumn id="13" xr3:uid="{11B78EF0-E194-46D5-80E4-9CE5E70120F0}" name="個人／構成比" dataDxfId="144"/>
    <tableColumn id="14" xr3:uid="{1350042E-6E30-4B6D-8F3E-E2B0043988B3}" name="法人／事業所数" dataCellStyle="桁区切り"/>
    <tableColumn id="15" xr3:uid="{1152AC7D-4005-49F2-9328-63781CAFF70A}" name="法人／構成比" dataDxfId="143"/>
    <tableColumn id="16" xr3:uid="{050BA3C2-172C-496A-AF6C-CEF28F2A2F1C}" name="法人以外の団体／事業所数" dataCellStyle="桁区切り"/>
  </tableColumns>
  <tableStyleInfo name="TableStyleMedium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5ABF31B0-DCD4-4760-A819-B4E77908D21B}" name="S_TABLE_23425" displayName="S_TABLE_23425" ref="B47:I67" totalsRowShown="0">
  <autoFilter ref="B47:I67" xr:uid="{5ABF31B0-DCD4-4760-A819-B4E77908D21B}"/>
  <tableColumns count="8">
    <tableColumn id="9" xr3:uid="{F2F27088-44C3-431C-8DFA-D80F65553823}" name="産業小分類上位２０"/>
    <tableColumn id="10" xr3:uid="{C2DFCC70-F861-4D7E-A46A-DBCED78EAEC5}" name="総数／事業所数" dataCellStyle="桁区切り"/>
    <tableColumn id="11" xr3:uid="{7E8801BF-D2B6-4DFD-8419-B2C476A2CEC6}" name="総数／構成比" dataDxfId="142"/>
    <tableColumn id="12" xr3:uid="{20E4C655-2EE7-45F9-A625-9E24E96504B7}" name="個人／事業所数" dataCellStyle="桁区切り"/>
    <tableColumn id="13" xr3:uid="{84DCD93B-A719-4DAE-AE47-86B6D1107B9C}" name="個人／構成比" dataDxfId="141"/>
    <tableColumn id="14" xr3:uid="{4AE9ED5A-FBEB-4B84-94BF-88C8A065A879}" name="法人／事業所数" dataCellStyle="桁区切り"/>
    <tableColumn id="15" xr3:uid="{BFBCB913-AE6B-4299-A73F-4E69D3294A40}" name="法人／構成比" dataDxfId="140"/>
    <tableColumn id="16" xr3:uid="{889BE9FD-E6E6-4E43-8618-EE560688148D}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39CE8A2A-AEF7-4CD2-87C7-DA80632C4B7E}" name="LTBL_23427" displayName="LTBL_23427" ref="B4:I20" totalsRowCount="1">
  <autoFilter ref="B4:I19" xr:uid="{39CE8A2A-AEF7-4CD2-87C7-DA80632C4B7E}"/>
  <tableColumns count="8">
    <tableColumn id="9" xr3:uid="{CA21F6A3-AFB3-48FF-9A88-74E6FE52ED0C}" name="産業大分類" totalsRowLabel="合計" totalsRowDxfId="139"/>
    <tableColumn id="10" xr3:uid="{DB814CCF-244E-4373-8054-5026F3D13764}" name="総数／事業所数" totalsRowFunction="custom" totalsRowDxfId="138" dataCellStyle="桁区切り" totalsRowCellStyle="桁区切り">
      <totalsRowFormula>SUM(LTBL_23427[総数／事業所数])</totalsRowFormula>
    </tableColumn>
    <tableColumn id="11" xr3:uid="{14399E7E-16CC-4A59-A5DB-1A9BE9895333}" name="総数／構成比" dataDxfId="137"/>
    <tableColumn id="12" xr3:uid="{CF3526BD-BDC3-4CC3-804C-EE67A32E1519}" name="個人／事業所数" totalsRowFunction="sum" totalsRowDxfId="136" dataCellStyle="桁区切り" totalsRowCellStyle="桁区切り"/>
    <tableColumn id="13" xr3:uid="{1BCA9F23-02E4-4A10-BC3D-47837C4C5D31}" name="個人／構成比" dataDxfId="135"/>
    <tableColumn id="14" xr3:uid="{EEECA647-8E70-4AD4-AF39-395B00FBCA98}" name="法人／事業所数" totalsRowFunction="sum" totalsRowDxfId="134" dataCellStyle="桁区切り" totalsRowCellStyle="桁区切り"/>
    <tableColumn id="15" xr3:uid="{B5E17D44-EF75-40C7-9435-B0771183BDF5}" name="法人／構成比" dataDxfId="133"/>
    <tableColumn id="16" xr3:uid="{ECBCBDAB-C225-4739-AC29-E6AC30A47FA5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8B735C14-E57B-4832-A081-8B0F669FE96A}" name="M_TABLE_23427" displayName="M_TABLE_23427" ref="B23:I43" totalsRowShown="0">
  <autoFilter ref="B23:I43" xr:uid="{8B735C14-E57B-4832-A081-8B0F669FE96A}"/>
  <tableColumns count="8">
    <tableColumn id="9" xr3:uid="{EA39BB15-2872-45BE-B86E-873174DD3247}" name="産業中分類上位２０"/>
    <tableColumn id="10" xr3:uid="{02860DFF-A7DC-407C-8355-46C238AC461E}" name="総数／事業所数" dataCellStyle="桁区切り"/>
    <tableColumn id="11" xr3:uid="{CAA89415-EF93-4A93-BC2D-15C590A863CE}" name="総数／構成比" dataDxfId="131"/>
    <tableColumn id="12" xr3:uid="{B91264EE-7D38-4A7D-9072-22BA1A57E9A7}" name="個人／事業所数" dataCellStyle="桁区切り"/>
    <tableColumn id="13" xr3:uid="{875E07B1-31D6-4E4D-BD58-5D4B06D5D3A0}" name="個人／構成比" dataDxfId="130"/>
    <tableColumn id="14" xr3:uid="{C1718C2E-AAD8-4B5C-B1A1-9D1E2D6B0656}" name="法人／事業所数" dataCellStyle="桁区切り"/>
    <tableColumn id="15" xr3:uid="{B35319B1-D664-4FBB-A2D3-C76A9F502049}" name="法人／構成比" dataDxfId="129"/>
    <tableColumn id="16" xr3:uid="{CD4E48FE-C0EB-4E1A-8F8A-BC2BA2EEA8ED}" name="法人以外の団体／事業所数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420A5CC7-61FA-4B4A-A0B2-20C0A8DB8DC4}" name="S_TABLE_23427" displayName="S_TABLE_23427" ref="B46:I70" totalsRowShown="0">
  <autoFilter ref="B46:I70" xr:uid="{420A5CC7-61FA-4B4A-A0B2-20C0A8DB8DC4}"/>
  <tableColumns count="8">
    <tableColumn id="9" xr3:uid="{6DFC4A32-FEEC-41F5-B392-6554223E7A4A}" name="産業小分類上位２０"/>
    <tableColumn id="10" xr3:uid="{6A65BE83-5FD6-4951-AEEF-F18AFF5DA424}" name="総数／事業所数" dataCellStyle="桁区切り"/>
    <tableColumn id="11" xr3:uid="{4C8A712C-B836-423C-81CA-725FD650DA0A}" name="総数／構成比" dataDxfId="128"/>
    <tableColumn id="12" xr3:uid="{FF2956DB-6FA9-472A-9E5C-2C7BDF87FBA7}" name="個人／事業所数" dataCellStyle="桁区切り"/>
    <tableColumn id="13" xr3:uid="{A689BFF0-5942-414E-9696-1DBD6E3D7034}" name="個人／構成比" dataDxfId="127"/>
    <tableColumn id="14" xr3:uid="{A029334D-17F4-4E18-871A-7B4AFBEFC84B}" name="法人／事業所数" dataCellStyle="桁区切り"/>
    <tableColumn id="15" xr3:uid="{7F454EEB-36BB-49F8-95C2-FD63D566C943}" name="法人／構成比" dataDxfId="126"/>
    <tableColumn id="16" xr3:uid="{47228027-EB86-4EE2-B353-83D187C599DD}" name="法人以外の団体／事業所数" dataCellStyle="桁区切り"/>
  </tableColumns>
  <tableStyleInfo name="TableStyleMedium9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F6F0DB37-1BA7-4B24-A4AA-C81EAD998A9B}" name="LTBL_23441" displayName="LTBL_23441" ref="B4:I20" totalsRowCount="1">
  <autoFilter ref="B4:I19" xr:uid="{F6F0DB37-1BA7-4B24-A4AA-C81EAD998A9B}"/>
  <tableColumns count="8">
    <tableColumn id="9" xr3:uid="{E6756A90-ED6B-4DB1-8699-5CBEF2CF8FCD}" name="産業大分類" totalsRowLabel="合計" totalsRowDxfId="125"/>
    <tableColumn id="10" xr3:uid="{D7193F2D-1ADA-4619-B7E1-3F0DA8AAC8F2}" name="総数／事業所数" totalsRowFunction="custom" totalsRowDxfId="124" dataCellStyle="桁区切り" totalsRowCellStyle="桁区切り">
      <totalsRowFormula>SUM(LTBL_23441[総数／事業所数])</totalsRowFormula>
    </tableColumn>
    <tableColumn id="11" xr3:uid="{D8F3C0F1-B549-4727-8C67-50352A75E7D6}" name="総数／構成比" dataDxfId="123"/>
    <tableColumn id="12" xr3:uid="{BB92B7C8-21AA-4697-B6D4-306B935BE949}" name="個人／事業所数" totalsRowFunction="sum" totalsRowDxfId="122" dataCellStyle="桁区切り" totalsRowCellStyle="桁区切り"/>
    <tableColumn id="13" xr3:uid="{4A6B6ABE-024A-4B53-A6C5-DB8B55DC7701}" name="個人／構成比" dataDxfId="121"/>
    <tableColumn id="14" xr3:uid="{0D93A38C-A803-4AF2-9F8C-22F96ACD6505}" name="法人／事業所数" totalsRowFunction="sum" totalsRowDxfId="120" dataCellStyle="桁区切り" totalsRowCellStyle="桁区切り"/>
    <tableColumn id="15" xr3:uid="{2D108944-C2DE-49FD-9E4E-6D84331C5FCA}" name="法人／構成比" dataDxfId="119"/>
    <tableColumn id="16" xr3:uid="{3F2841B1-F2F5-4CBE-9A5D-544CE5C0649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43657B40-F482-4C38-9982-F2A4F1CA1FEB}" name="M_TABLE_23441" displayName="M_TABLE_23441" ref="B23:I43" totalsRowShown="0">
  <autoFilter ref="B23:I43" xr:uid="{43657B40-F482-4C38-9982-F2A4F1CA1FEB}"/>
  <tableColumns count="8">
    <tableColumn id="9" xr3:uid="{CC5BEF0C-BD88-4FCF-BD39-AFE4FEA3EE8E}" name="産業中分類上位２０"/>
    <tableColumn id="10" xr3:uid="{635905CD-665F-4243-A7E6-25ED5F29A767}" name="総数／事業所数" dataCellStyle="桁区切り"/>
    <tableColumn id="11" xr3:uid="{B1A3C29C-D1D2-4B70-9C91-86D6E1A15FDD}" name="総数／構成比" dataDxfId="117"/>
    <tableColumn id="12" xr3:uid="{208095D8-9FDA-434C-84D1-1D54F7A12FA5}" name="個人／事業所数" dataCellStyle="桁区切り"/>
    <tableColumn id="13" xr3:uid="{042D8DD3-F302-4C20-B80A-785E19E86590}" name="個人／構成比" dataDxfId="116"/>
    <tableColumn id="14" xr3:uid="{45D3C184-A41D-4E06-817F-6B986549922C}" name="法人／事業所数" dataCellStyle="桁区切り"/>
    <tableColumn id="15" xr3:uid="{25B83AC4-767E-4D5F-8DC9-8EA45C6EDFA2}" name="法人／構成比" dataDxfId="115"/>
    <tableColumn id="16" xr3:uid="{5A47CC0B-EA6D-4B8D-8068-E98E8796BF43}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EA68E0F5-2D5B-46A9-9A64-7873E706E28F}" name="S_TABLE_23441" displayName="S_TABLE_23441" ref="B46:I69" totalsRowShown="0">
  <autoFilter ref="B46:I69" xr:uid="{EA68E0F5-2D5B-46A9-9A64-7873E706E28F}"/>
  <tableColumns count="8">
    <tableColumn id="9" xr3:uid="{CD8030C9-82EF-499F-BC9B-A07125B8AC7D}" name="産業小分類上位２０"/>
    <tableColumn id="10" xr3:uid="{29E11D0D-7520-4BE2-A600-884EDC09A36B}" name="総数／事業所数" dataCellStyle="桁区切り"/>
    <tableColumn id="11" xr3:uid="{48D69F2E-F675-4AF5-ABFD-4F343C477EC3}" name="総数／構成比" dataDxfId="114"/>
    <tableColumn id="12" xr3:uid="{D2ACBDC4-4F5E-4E12-9902-2E18DF834D8D}" name="個人／事業所数" dataCellStyle="桁区切り"/>
    <tableColumn id="13" xr3:uid="{74215500-B5B4-4037-84D6-5AF614063E75}" name="個人／構成比" dataDxfId="113"/>
    <tableColumn id="14" xr3:uid="{17D559F7-3FCE-4859-B10C-95D198F7F09D}" name="法人／事業所数" dataCellStyle="桁区切り"/>
    <tableColumn id="15" xr3:uid="{D19F0BCE-5C03-4ABF-BACA-336CA32693BD}" name="法人／構成比" dataDxfId="112"/>
    <tableColumn id="16" xr3:uid="{E19C80D9-1C71-4F7E-A29B-FE6F7A846989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E85A17C-C655-4109-AB1A-7A0A14CDD032}" name="LTBL_23105" displayName="LTBL_23105" ref="B4:I20" totalsRowCount="1">
  <autoFilter ref="B4:I19" xr:uid="{2E85A17C-C655-4109-AB1A-7A0A14CDD032}"/>
  <tableColumns count="8">
    <tableColumn id="9" xr3:uid="{80FD05A5-70E8-4FDF-BD78-CEE5100CCA82}" name="産業大分類" totalsRowLabel="合計" totalsRowDxfId="909"/>
    <tableColumn id="10" xr3:uid="{65AC002F-13C6-45F8-A373-332A0C9A60C2}" name="総数／事業所数" totalsRowFunction="custom" totalsRowDxfId="908" dataCellStyle="桁区切り" totalsRowCellStyle="桁区切り">
      <totalsRowFormula>SUM(LTBL_23105[総数／事業所数])</totalsRowFormula>
    </tableColumn>
    <tableColumn id="11" xr3:uid="{F004682E-10D9-4D0D-9734-6CDC4CE1B187}" name="総数／構成比" dataDxfId="907"/>
    <tableColumn id="12" xr3:uid="{D9BAA471-3C0F-4C3D-BA64-3DDD970B51B0}" name="個人／事業所数" totalsRowFunction="sum" totalsRowDxfId="906" dataCellStyle="桁区切り" totalsRowCellStyle="桁区切り"/>
    <tableColumn id="13" xr3:uid="{5C8C3872-7222-44C8-B166-1186EA45AAD5}" name="個人／構成比" dataDxfId="905"/>
    <tableColumn id="14" xr3:uid="{491D5455-65AF-4B0B-97C9-85BADAAD550F}" name="法人／事業所数" totalsRowFunction="sum" totalsRowDxfId="904" dataCellStyle="桁区切り" totalsRowCellStyle="桁区切り"/>
    <tableColumn id="15" xr3:uid="{0AC01666-B714-4F58-930D-837A9D42E82B}" name="法人／構成比" dataDxfId="903"/>
    <tableColumn id="16" xr3:uid="{B486ED7C-F454-4DFC-8D97-A4EA2BD78425}" name="法人以外の団体／事業所数" totalsRowFunction="sum" totalsRowDxfId="902" dataCellStyle="桁区切り" totalsRow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22C19C01-88FB-405B-8A73-E792908995DC}" name="LTBL_23442" displayName="LTBL_23442" ref="B4:I20" totalsRowCount="1">
  <autoFilter ref="B4:I19" xr:uid="{22C19C01-88FB-405B-8A73-E792908995DC}"/>
  <tableColumns count="8">
    <tableColumn id="9" xr3:uid="{5B68594D-E903-4C0F-B02C-5309328D31CD}" name="産業大分類" totalsRowLabel="合計" totalsRowDxfId="111"/>
    <tableColumn id="10" xr3:uid="{9D30FEC2-7942-4674-BB5F-E35C800422F5}" name="総数／事業所数" totalsRowFunction="custom" totalsRowDxfId="110" dataCellStyle="桁区切り" totalsRowCellStyle="桁区切り">
      <totalsRowFormula>SUM(LTBL_23442[総数／事業所数])</totalsRowFormula>
    </tableColumn>
    <tableColumn id="11" xr3:uid="{D3277B4B-A18F-47CB-9AEC-14580EEB7499}" name="総数／構成比" dataDxfId="109"/>
    <tableColumn id="12" xr3:uid="{2A0DDE36-9702-4D3F-94D1-A39C94B5BDDC}" name="個人／事業所数" totalsRowFunction="sum" totalsRowDxfId="108" dataCellStyle="桁区切り" totalsRowCellStyle="桁区切り"/>
    <tableColumn id="13" xr3:uid="{7D075398-5350-429C-B22E-6DF6B9881BD8}" name="個人／構成比" dataDxfId="107"/>
    <tableColumn id="14" xr3:uid="{C9F197A3-9A9C-4C78-B10F-7C932B39B7A6}" name="法人／事業所数" totalsRowFunction="sum" totalsRowDxfId="106" dataCellStyle="桁区切り" totalsRowCellStyle="桁区切り"/>
    <tableColumn id="15" xr3:uid="{21170E94-C912-4464-9CE3-2A4D30A3CE03}" name="法人／構成比" dataDxfId="105"/>
    <tableColumn id="16" xr3:uid="{E9BCBC50-21E4-4E4D-ACBE-550A2F802888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BEAA868D-C372-4BF1-97A8-25E634864929}" name="M_TABLE_23442" displayName="M_TABLE_23442" ref="B23:I43" totalsRowShown="0">
  <autoFilter ref="B23:I43" xr:uid="{BEAA868D-C372-4BF1-97A8-25E634864929}"/>
  <tableColumns count="8">
    <tableColumn id="9" xr3:uid="{A08DF38F-5C9E-409B-93D4-0E19005B6616}" name="産業中分類上位２０"/>
    <tableColumn id="10" xr3:uid="{D95F99B0-53B5-420C-B062-476732C2DAF8}" name="総数／事業所数" dataCellStyle="桁区切り"/>
    <tableColumn id="11" xr3:uid="{D6987BAE-B3C3-4680-A025-5FB2D420A3F5}" name="総数／構成比" dataDxfId="103"/>
    <tableColumn id="12" xr3:uid="{F281FA4C-C952-4AA2-A5A4-A24E8509A8A6}" name="個人／事業所数" dataCellStyle="桁区切り"/>
    <tableColumn id="13" xr3:uid="{9C926DB8-90CB-402B-A890-A54AE3A53187}" name="個人／構成比" dataDxfId="102"/>
    <tableColumn id="14" xr3:uid="{DA80ADF2-CB72-4E79-AECA-4081F6707264}" name="法人／事業所数" dataCellStyle="桁区切り"/>
    <tableColumn id="15" xr3:uid="{5C768DE3-7708-4302-92D9-209EE9CE70CE}" name="法人／構成比" dataDxfId="101"/>
    <tableColumn id="16" xr3:uid="{9EE80D4E-BF10-46FE-8D8F-5FEFBDECFA78}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5446FAD6-5B12-41FF-956D-FDB546EAE61E}" name="S_TABLE_23442" displayName="S_TABLE_23442" ref="B46:I67" totalsRowShown="0">
  <autoFilter ref="B46:I67" xr:uid="{5446FAD6-5B12-41FF-956D-FDB546EAE61E}"/>
  <tableColumns count="8">
    <tableColumn id="9" xr3:uid="{AC64A9E7-6806-4E2B-9769-13095AC3F3BA}" name="産業小分類上位２０"/>
    <tableColumn id="10" xr3:uid="{F33B4F0F-5EF1-48AC-9287-F6D773D1E94D}" name="総数／事業所数" dataCellStyle="桁区切り"/>
    <tableColumn id="11" xr3:uid="{1E497627-994E-473D-9757-0C5C3041B521}" name="総数／構成比" dataDxfId="100"/>
    <tableColumn id="12" xr3:uid="{EE0A2AE4-E60A-443F-A9C8-309028D58377}" name="個人／事業所数" dataCellStyle="桁区切り"/>
    <tableColumn id="13" xr3:uid="{7CDE0607-6B0F-4169-A965-9D065BA22D1C}" name="個人／構成比" dataDxfId="99"/>
    <tableColumn id="14" xr3:uid="{61EA90B8-A3D6-4282-A4C0-44C8032EDA6A}" name="法人／事業所数" dataCellStyle="桁区切り"/>
    <tableColumn id="15" xr3:uid="{E4FE31D2-4D1B-4CE9-BB60-A8CBDC5220BF}" name="法人／構成比" dataDxfId="98"/>
    <tableColumn id="16" xr3:uid="{B2FB04BD-9CCA-49AA-B78B-B5F21C132365}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AA59C646-F7F2-4E9B-971B-33A8848C2B50}" name="LTBL_23445" displayName="LTBL_23445" ref="B4:I20" totalsRowCount="1">
  <autoFilter ref="B4:I19" xr:uid="{AA59C646-F7F2-4E9B-971B-33A8848C2B50}"/>
  <tableColumns count="8">
    <tableColumn id="9" xr3:uid="{AAF57901-B7F9-41A2-A59B-D86C821E7403}" name="産業大分類" totalsRowLabel="合計" totalsRowDxfId="97"/>
    <tableColumn id="10" xr3:uid="{64308F44-6188-4FAD-96A4-7823B8A41FFF}" name="総数／事業所数" totalsRowFunction="custom" totalsRowDxfId="96" dataCellStyle="桁区切り" totalsRowCellStyle="桁区切り">
      <totalsRowFormula>SUM(LTBL_23445[総数／事業所数])</totalsRowFormula>
    </tableColumn>
    <tableColumn id="11" xr3:uid="{66B1A1D1-A918-4073-9BD8-1C2A10ED87C9}" name="総数／構成比" dataDxfId="95"/>
    <tableColumn id="12" xr3:uid="{B87402F1-7AEC-4228-A64C-3FB5C17EB43A}" name="個人／事業所数" totalsRowFunction="sum" totalsRowDxfId="94" dataCellStyle="桁区切り" totalsRowCellStyle="桁区切り"/>
    <tableColumn id="13" xr3:uid="{F8665640-AE20-4B69-BE1F-073F99F5BDA9}" name="個人／構成比" dataDxfId="93"/>
    <tableColumn id="14" xr3:uid="{A55C6E5C-F5B7-47D2-A651-AD28B78DE5BA}" name="法人／事業所数" totalsRowFunction="sum" totalsRowDxfId="92" dataCellStyle="桁区切り" totalsRowCellStyle="桁区切り"/>
    <tableColumn id="15" xr3:uid="{BB576CD0-992F-4FCA-9AAB-904475D3D796}" name="法人／構成比" dataDxfId="91"/>
    <tableColumn id="16" xr3:uid="{E8E366B4-B8F1-4F16-B73D-4F3C8709EE78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6D3E116C-17CE-4411-BED3-0A5E6C536BA9}" name="M_TABLE_23445" displayName="M_TABLE_23445" ref="B23:I45" totalsRowShown="0">
  <autoFilter ref="B23:I45" xr:uid="{6D3E116C-17CE-4411-BED3-0A5E6C536BA9}"/>
  <tableColumns count="8">
    <tableColumn id="9" xr3:uid="{3E8BB885-282C-4B4D-AF54-B55FFB21E7B1}" name="産業中分類上位２０"/>
    <tableColumn id="10" xr3:uid="{AE51785F-B1C3-4F2F-86E0-999BF434F84D}" name="総数／事業所数" dataCellStyle="桁区切り"/>
    <tableColumn id="11" xr3:uid="{7CA69359-908E-47EF-996F-A0A4F28B7666}" name="総数／構成比" dataDxfId="89"/>
    <tableColumn id="12" xr3:uid="{14EBCE6E-2112-4095-9955-56ED6EBF2724}" name="個人／事業所数" dataCellStyle="桁区切り"/>
    <tableColumn id="13" xr3:uid="{99FCD158-764C-4C9A-9666-B4A7DC13D4E8}" name="個人／構成比" dataDxfId="88"/>
    <tableColumn id="14" xr3:uid="{850667B1-5BAA-4A63-998F-79D798F33A4A}" name="法人／事業所数" dataCellStyle="桁区切り"/>
    <tableColumn id="15" xr3:uid="{378B8D11-8614-439A-8D16-100D4DD6DE54}" name="法人／構成比" dataDxfId="87"/>
    <tableColumn id="16" xr3:uid="{DB326AE8-6B9D-4115-BC9F-A2EEEDE7E002}" name="法人以外の団体／事業所数" dataCellStyle="桁区切り"/>
  </tableColumns>
  <tableStyleInfo name="TableStyleMedium9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CD479AAC-EA0E-482E-B485-F2DAF58390E8}" name="S_TABLE_23445" displayName="S_TABLE_23445" ref="B48:I71" totalsRowShown="0">
  <autoFilter ref="B48:I71" xr:uid="{CD479AAC-EA0E-482E-B485-F2DAF58390E8}"/>
  <tableColumns count="8">
    <tableColumn id="9" xr3:uid="{5FE5E31F-1C44-47E4-BBF9-7B3CB1AE33E6}" name="産業小分類上位２０"/>
    <tableColumn id="10" xr3:uid="{A07E2B70-59E8-4955-9AD2-C34365B69938}" name="総数／事業所数" dataCellStyle="桁区切り"/>
    <tableColumn id="11" xr3:uid="{9F89822B-6C9A-4BA1-A69B-D9709CE28B8F}" name="総数／構成比" dataDxfId="86"/>
    <tableColumn id="12" xr3:uid="{5729C5E6-3012-4518-9AA7-781BAE918ACE}" name="個人／事業所数" dataCellStyle="桁区切り"/>
    <tableColumn id="13" xr3:uid="{F8CF29C6-52A0-4E34-8D60-AB5EC0D58FCB}" name="個人／構成比" dataDxfId="85"/>
    <tableColumn id="14" xr3:uid="{CC52FF65-A8DD-4DB3-80F5-D34E8D02320B}" name="法人／事業所数" dataCellStyle="桁区切り"/>
    <tableColumn id="15" xr3:uid="{9CB467DF-CE52-46ED-A5B8-904E689C3C9B}" name="法人／構成比" dataDxfId="84"/>
    <tableColumn id="16" xr3:uid="{00A472AD-96D7-436D-8225-04E903F7D5A0}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C26FDC13-1654-41EB-A89F-940C7A765025}" name="LTBL_23446" displayName="LTBL_23446" ref="B4:I20" totalsRowCount="1">
  <autoFilter ref="B4:I19" xr:uid="{C26FDC13-1654-41EB-A89F-940C7A765025}"/>
  <tableColumns count="8">
    <tableColumn id="9" xr3:uid="{5C5860EA-B4F1-4FE1-B152-D8354AA819F9}" name="産業大分類" totalsRowLabel="合計" totalsRowDxfId="83"/>
    <tableColumn id="10" xr3:uid="{F83C3C46-FA77-44D2-8726-BDCC004FE0BD}" name="総数／事業所数" totalsRowFunction="custom" totalsRowDxfId="82" dataCellStyle="桁区切り" totalsRowCellStyle="桁区切り">
      <totalsRowFormula>SUM(LTBL_23446[総数／事業所数])</totalsRowFormula>
    </tableColumn>
    <tableColumn id="11" xr3:uid="{27417FC5-6A5B-4DA1-A014-1A89B986BB4D}" name="総数／構成比" dataDxfId="81"/>
    <tableColumn id="12" xr3:uid="{A23F18BA-E9A4-4F08-806E-602372A93AFF}" name="個人／事業所数" totalsRowFunction="sum" totalsRowDxfId="80" dataCellStyle="桁区切り" totalsRowCellStyle="桁区切り"/>
    <tableColumn id="13" xr3:uid="{83B7C4FE-C6CD-4E8A-8E81-D414DB9AFD93}" name="個人／構成比" dataDxfId="79"/>
    <tableColumn id="14" xr3:uid="{B7A15D7F-AA91-47BD-AE64-7F5C9BCDE9E1}" name="法人／事業所数" totalsRowFunction="sum" totalsRowDxfId="78" dataCellStyle="桁区切り" totalsRowCellStyle="桁区切り"/>
    <tableColumn id="15" xr3:uid="{AF875A25-632B-4FC9-A611-949AADEB569D}" name="法人／構成比" dataDxfId="77"/>
    <tableColumn id="16" xr3:uid="{18D1A3CF-14AC-4827-A548-A1DB1EBFEC7B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328618B4-7ED1-469C-9CD5-3A74D3EBAE50}" name="M_TABLE_23446" displayName="M_TABLE_23446" ref="B23:I43" totalsRowShown="0">
  <autoFilter ref="B23:I43" xr:uid="{328618B4-7ED1-469C-9CD5-3A74D3EBAE50}"/>
  <tableColumns count="8">
    <tableColumn id="9" xr3:uid="{2C74EAF3-0909-4F78-A6A0-471468585AD1}" name="産業中分類上位２０"/>
    <tableColumn id="10" xr3:uid="{1481AFBF-BAB6-45E2-92C7-2650CB60A274}" name="総数／事業所数" dataCellStyle="桁区切り"/>
    <tableColumn id="11" xr3:uid="{63DF3637-48EF-40EB-84AA-5BE11CB3E1C4}" name="総数／構成比" dataDxfId="75"/>
    <tableColumn id="12" xr3:uid="{32F1296B-E5D7-4370-872A-6059344E9F9F}" name="個人／事業所数" dataCellStyle="桁区切り"/>
    <tableColumn id="13" xr3:uid="{4BCEC28B-2B4D-49EC-B144-14B113A7199A}" name="個人／構成比" dataDxfId="74"/>
    <tableColumn id="14" xr3:uid="{AFF99EDB-2496-4C25-9553-163EF22FD60C}" name="法人／事業所数" dataCellStyle="桁区切り"/>
    <tableColumn id="15" xr3:uid="{6F910001-8661-4987-9960-653E3439138E}" name="法人／構成比" dataDxfId="73"/>
    <tableColumn id="16" xr3:uid="{5869D783-B505-4A7B-8841-507F257F9C2B}" name="法人以外の団体／事業所数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62E3F073-A431-48C5-BF75-5AA0AFDC32A0}" name="S_TABLE_23446" displayName="S_TABLE_23446" ref="B46:I68" totalsRowShown="0">
  <autoFilter ref="B46:I68" xr:uid="{62E3F073-A431-48C5-BF75-5AA0AFDC32A0}"/>
  <tableColumns count="8">
    <tableColumn id="9" xr3:uid="{71C0D8E3-EC53-4929-82D2-032BCDBAEE9E}" name="産業小分類上位２０"/>
    <tableColumn id="10" xr3:uid="{A64F86B5-E808-40BD-81A7-7CA712D3A41C}" name="総数／事業所数" dataCellStyle="桁区切り"/>
    <tableColumn id="11" xr3:uid="{3029D557-7479-42BC-86A2-E41973ADDBA8}" name="総数／構成比" dataDxfId="72"/>
    <tableColumn id="12" xr3:uid="{D2910C89-6122-4596-9253-568488512B0A}" name="個人／事業所数" dataCellStyle="桁区切り"/>
    <tableColumn id="13" xr3:uid="{7B567B80-9398-4383-B616-524157B0A79C}" name="個人／構成比" dataDxfId="71"/>
    <tableColumn id="14" xr3:uid="{A6E70F2A-A814-4BF8-9A0F-F9D4F9E1200B}" name="法人／事業所数" dataCellStyle="桁区切り"/>
    <tableColumn id="15" xr3:uid="{4F61888C-CB41-4D80-8E5D-579F5BE73C44}" name="法人／構成比" dataDxfId="70"/>
    <tableColumn id="16" xr3:uid="{8D7E84E8-5F5B-4D3F-8C6F-83DFD2059A4A}" name="法人以外の団体／事業所数" dataCellStyle="桁区切り"/>
  </tableColumns>
  <tableStyleInfo name="TableStyleMedium9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7381DBE4-A1E8-43E8-A6BC-74DEC273F8DD}" name="LTBL_23447" displayName="LTBL_23447" ref="B4:I20" totalsRowCount="1">
  <autoFilter ref="B4:I19" xr:uid="{7381DBE4-A1E8-43E8-A6BC-74DEC273F8DD}"/>
  <tableColumns count="8">
    <tableColumn id="9" xr3:uid="{CC75FEBA-BE89-4105-8399-3AEE9530B0F8}" name="産業大分類" totalsRowLabel="合計" totalsRowDxfId="69"/>
    <tableColumn id="10" xr3:uid="{15F630EA-C3EA-4F6E-B3F0-C121EABBC4D2}" name="総数／事業所数" totalsRowFunction="custom" totalsRowDxfId="68" dataCellStyle="桁区切り" totalsRowCellStyle="桁区切り">
      <totalsRowFormula>SUM(LTBL_23447[総数／事業所数])</totalsRowFormula>
    </tableColumn>
    <tableColumn id="11" xr3:uid="{07111599-5A30-496A-9171-854B947FC515}" name="総数／構成比" dataDxfId="67"/>
    <tableColumn id="12" xr3:uid="{8E5F2278-9C41-4A21-AEF1-A69D6151BED9}" name="個人／事業所数" totalsRowFunction="sum" totalsRowDxfId="66" dataCellStyle="桁区切り" totalsRowCellStyle="桁区切り"/>
    <tableColumn id="13" xr3:uid="{2AEE0F10-AD0C-4B8C-A28E-A2FBC02EB50E}" name="個人／構成比" dataDxfId="65"/>
    <tableColumn id="14" xr3:uid="{DB071A46-F03B-4D6E-8199-3628F2F0EAA9}" name="法人／事業所数" totalsRowFunction="sum" totalsRowDxfId="64" dataCellStyle="桁区切り" totalsRowCellStyle="桁区切り"/>
    <tableColumn id="15" xr3:uid="{27CDFDF7-D034-4E94-8F1C-3BF432B323C6}" name="法人／構成比" dataDxfId="63"/>
    <tableColumn id="16" xr3:uid="{F4AFA8C9-496B-45BF-BE3E-C137C31027A2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FDF678-D519-4214-B213-ACB15FD668A5}" name="M_TABLE_23000" displayName="M_TABLE_23000" ref="B23:I43" totalsRowShown="0">
  <autoFilter ref="B23:I43" xr:uid="{DDFDF678-D519-4214-B213-ACB15FD668A5}"/>
  <tableColumns count="8">
    <tableColumn id="9" xr3:uid="{4F0F6D05-1E26-4019-B237-24A0729F9694}" name="産業中分類上位２０"/>
    <tableColumn id="10" xr3:uid="{B61151C9-B15A-4195-BA3B-E73DE93DDC8B}" name="総数／事業所数" dataCellStyle="桁区切り"/>
    <tableColumn id="11" xr3:uid="{2CDCB185-8E5D-4795-A0C0-42E050269193}" name="総数／構成比" dataDxfId="985"/>
    <tableColumn id="12" xr3:uid="{07D3A3EE-2308-422E-AFBC-43236DE07D10}" name="個人／事業所数" dataCellStyle="桁区切り"/>
    <tableColumn id="13" xr3:uid="{19F85D1B-6A48-437E-AAA9-9D13D915E2FE}" name="個人／構成比" dataDxfId="984"/>
    <tableColumn id="14" xr3:uid="{40C6FE85-8780-4E5C-B617-17539D108096}" name="法人／事業所数" dataCellStyle="桁区切り"/>
    <tableColumn id="15" xr3:uid="{A2288B9C-CC09-425B-8304-728B73BABEFB}" name="法人／構成比" dataDxfId="983"/>
    <tableColumn id="16" xr3:uid="{287C56F4-327F-4E33-9CD4-E02144462109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5249624-B09B-4C0E-8DCE-14AB1E32E339}" name="M_TABLE_23105" displayName="M_TABLE_23105" ref="B23:I43" totalsRowShown="0">
  <autoFilter ref="B23:I43" xr:uid="{75249624-B09B-4C0E-8DCE-14AB1E32E339}"/>
  <tableColumns count="8">
    <tableColumn id="9" xr3:uid="{D6141402-B41E-4E94-829F-D38CF6594F40}" name="産業中分類上位２０"/>
    <tableColumn id="10" xr3:uid="{84C8DF41-2CE1-4B7E-B758-2970EF8C39A5}" name="総数／事業所数" dataCellStyle="桁区切り"/>
    <tableColumn id="11" xr3:uid="{817E0D3F-98A2-490C-B967-40BE9414DF52}" name="総数／構成比" dataDxfId="901"/>
    <tableColumn id="12" xr3:uid="{82DBB2DE-160B-4719-8AA8-35595A3EE11E}" name="個人／事業所数" dataCellStyle="桁区切り"/>
    <tableColumn id="13" xr3:uid="{E3CD440D-D731-49B9-870E-FC78AAC8C34A}" name="個人／構成比" dataDxfId="900"/>
    <tableColumn id="14" xr3:uid="{344A6A7A-EEF4-4023-AD6B-F428D8D008E1}" name="法人／事業所数" dataCellStyle="桁区切り"/>
    <tableColumn id="15" xr3:uid="{5FF9E116-DEC6-4806-B596-7AEB9E37ECE5}" name="法人／構成比" dataDxfId="899"/>
    <tableColumn id="16" xr3:uid="{1C3BBA6F-518E-4F42-AB04-EBD950BBAAF3}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92937C4E-56E0-41CD-B548-D11AEDA36116}" name="M_TABLE_23447" displayName="M_TABLE_23447" ref="B23:I45" totalsRowShown="0">
  <autoFilter ref="B23:I45" xr:uid="{92937C4E-56E0-41CD-B548-D11AEDA36116}"/>
  <tableColumns count="8">
    <tableColumn id="9" xr3:uid="{91930277-75C4-41CA-8A1A-8B82A90091A1}" name="産業中分類上位２０"/>
    <tableColumn id="10" xr3:uid="{DA7A7D0E-E48E-4889-95D6-46810659B0C2}" name="総数／事業所数" dataCellStyle="桁区切り"/>
    <tableColumn id="11" xr3:uid="{97CD7F1E-D7F4-421A-B8F6-FA77D3162311}" name="総数／構成比" dataDxfId="61"/>
    <tableColumn id="12" xr3:uid="{97DF117D-6AF6-45AA-A1B6-D8797978155B}" name="個人／事業所数" dataCellStyle="桁区切り"/>
    <tableColumn id="13" xr3:uid="{B8307ED6-BD94-4233-8451-C0980F58F270}" name="個人／構成比" dataDxfId="60"/>
    <tableColumn id="14" xr3:uid="{F41EF61D-9303-43E4-BAB7-69B447D4A489}" name="法人／事業所数" dataCellStyle="桁区切り"/>
    <tableColumn id="15" xr3:uid="{488773F6-56CF-4966-97A3-F7BB6E34C4F6}" name="法人／構成比" dataDxfId="59"/>
    <tableColumn id="16" xr3:uid="{0B744E9D-7BBC-46CE-8C1D-8B01D0C5B7E8}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C65EE7C8-954C-4EA8-92E3-DF50EC275B2B}" name="S_TABLE_23447" displayName="S_TABLE_23447" ref="B48:I70" totalsRowShown="0">
  <autoFilter ref="B48:I70" xr:uid="{C65EE7C8-954C-4EA8-92E3-DF50EC275B2B}"/>
  <tableColumns count="8">
    <tableColumn id="9" xr3:uid="{72CF4D06-29F8-4A2B-99BA-2F3B33072CF2}" name="産業小分類上位２０"/>
    <tableColumn id="10" xr3:uid="{55FA7338-E47F-49BC-BE9C-C855CF3E2926}" name="総数／事業所数" dataCellStyle="桁区切り"/>
    <tableColumn id="11" xr3:uid="{B4028540-708D-4DD5-A86D-08A2E749B19A}" name="総数／構成比" dataDxfId="58"/>
    <tableColumn id="12" xr3:uid="{ABED69E0-96D3-46CE-B6CC-F701424D2184}" name="個人／事業所数" dataCellStyle="桁区切り"/>
    <tableColumn id="13" xr3:uid="{EF97D4DF-1614-40C0-9997-B27AD9EDA605}" name="個人／構成比" dataDxfId="57"/>
    <tableColumn id="14" xr3:uid="{0E62675E-DC6B-4A36-AFE7-7CFF8BD34E84}" name="法人／事業所数" dataCellStyle="桁区切り"/>
    <tableColumn id="15" xr3:uid="{81C7D3B3-1D41-4055-8A5F-0333A9E3FC9D}" name="法人／構成比" dataDxfId="56"/>
    <tableColumn id="16" xr3:uid="{6899379E-1912-4FF2-B8B0-67A686753CB7}" name="法人以外の団体／事業所数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23D7A5F1-1CFB-4A54-8DC5-ABB944BA3197}" name="LTBL_23501" displayName="LTBL_23501" ref="B4:I20" totalsRowCount="1">
  <autoFilter ref="B4:I19" xr:uid="{23D7A5F1-1CFB-4A54-8DC5-ABB944BA3197}"/>
  <tableColumns count="8">
    <tableColumn id="9" xr3:uid="{99B57AD8-48BE-4744-BC78-E4E323657C50}" name="産業大分類" totalsRowLabel="合計" totalsRowDxfId="55"/>
    <tableColumn id="10" xr3:uid="{8BD716EA-46A0-4A80-B284-4230EEB9F84F}" name="総数／事業所数" totalsRowFunction="custom" totalsRowDxfId="54" dataCellStyle="桁区切り" totalsRowCellStyle="桁区切り">
      <totalsRowFormula>SUM(LTBL_23501[総数／事業所数])</totalsRowFormula>
    </tableColumn>
    <tableColumn id="11" xr3:uid="{01DB2930-AD85-439F-AA8D-62D4236D8E5D}" name="総数／構成比" dataDxfId="53"/>
    <tableColumn id="12" xr3:uid="{27ED38FB-85E4-4984-9F71-ABDF80FF59BF}" name="個人／事業所数" totalsRowFunction="sum" totalsRowDxfId="52" dataCellStyle="桁区切り" totalsRowCellStyle="桁区切り"/>
    <tableColumn id="13" xr3:uid="{5F0FE0A5-A0D4-491A-9264-70F4DFC107BE}" name="個人／構成比" dataDxfId="51"/>
    <tableColumn id="14" xr3:uid="{6EF97FEB-2CBA-4DCC-8574-5FE1B4A3DA5B}" name="法人／事業所数" totalsRowFunction="sum" totalsRowDxfId="50" dataCellStyle="桁区切り" totalsRowCellStyle="桁区切り"/>
    <tableColumn id="15" xr3:uid="{B4513747-59CB-4FB8-80BB-6DC9100243BE}" name="法人／構成比" dataDxfId="49"/>
    <tableColumn id="16" xr3:uid="{1BE60D4C-4F0E-4758-9A1E-3621BF308134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C552F914-C27D-481C-92FE-E4BFDF5BFF8F}" name="M_TABLE_23501" displayName="M_TABLE_23501" ref="B23:I46" totalsRowShown="0">
  <autoFilter ref="B23:I46" xr:uid="{C552F914-C27D-481C-92FE-E4BFDF5BFF8F}"/>
  <tableColumns count="8">
    <tableColumn id="9" xr3:uid="{9B45AB56-6D9D-4BE9-8C20-2858B2D91FC5}" name="産業中分類上位２０"/>
    <tableColumn id="10" xr3:uid="{EF5469FB-1E9F-4D38-8705-8E1D90637804}" name="総数／事業所数" dataCellStyle="桁区切り"/>
    <tableColumn id="11" xr3:uid="{773C8455-2270-4338-A15D-31EF2934BE43}" name="総数／構成比" dataDxfId="47"/>
    <tableColumn id="12" xr3:uid="{9A6A0183-BA92-4D17-9367-A301620A542B}" name="個人／事業所数" dataCellStyle="桁区切り"/>
    <tableColumn id="13" xr3:uid="{CEEFE531-867B-48F1-A3BB-B23290373917}" name="個人／構成比" dataDxfId="46"/>
    <tableColumn id="14" xr3:uid="{B1AD0CB1-C6E9-4A00-840F-A1C2C53B0336}" name="法人／事業所数" dataCellStyle="桁区切り"/>
    <tableColumn id="15" xr3:uid="{FDF9D152-0490-4F87-BF2E-718F7395D41F}" name="法人／構成比" dataDxfId="45"/>
    <tableColumn id="16" xr3:uid="{B50E38AB-D225-4430-A85B-CD28E10207E9}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1E4776F2-86BF-43F8-BD75-27EDFC36EF62}" name="S_TABLE_23501" displayName="S_TABLE_23501" ref="B49:I73" totalsRowShown="0">
  <autoFilter ref="B49:I73" xr:uid="{1E4776F2-86BF-43F8-BD75-27EDFC36EF62}"/>
  <tableColumns count="8">
    <tableColumn id="9" xr3:uid="{2830F4BF-85ED-4ECB-8A95-06D72AB7995E}" name="産業小分類上位２０"/>
    <tableColumn id="10" xr3:uid="{6833941C-9844-44F1-A92D-8789BDBA6A3B}" name="総数／事業所数" dataCellStyle="桁区切り"/>
    <tableColumn id="11" xr3:uid="{E44BCBA7-9050-4C3F-9AEE-102945BEF5FD}" name="総数／構成比" dataDxfId="44"/>
    <tableColumn id="12" xr3:uid="{F670F94D-D8F4-4F7B-9383-7E8A6C36BF03}" name="個人／事業所数" dataCellStyle="桁区切り"/>
    <tableColumn id="13" xr3:uid="{78456456-3973-4A90-9814-971D64253763}" name="個人／構成比" dataDxfId="43"/>
    <tableColumn id="14" xr3:uid="{9053457D-967F-41C0-8FD7-3C7B0B7FE25B}" name="法人／事業所数" dataCellStyle="桁区切り"/>
    <tableColumn id="15" xr3:uid="{5C3A2A53-666C-4FF9-BC0B-1FE1B58F60A2}" name="法人／構成比" dataDxfId="42"/>
    <tableColumn id="16" xr3:uid="{FE8B5E7D-96AB-48DE-A6CE-618238A4F25B}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2BA02B20-65C5-4692-A702-2A3BFBCDD053}" name="LTBL_23561" displayName="LTBL_23561" ref="B4:I20" totalsRowCount="1">
  <autoFilter ref="B4:I19" xr:uid="{2BA02B20-65C5-4692-A702-2A3BFBCDD053}"/>
  <tableColumns count="8">
    <tableColumn id="9" xr3:uid="{1F6C05E7-9F6D-4618-8C82-F3DF691B70D8}" name="産業大分類" totalsRowLabel="合計" totalsRowDxfId="41"/>
    <tableColumn id="10" xr3:uid="{369B49A5-FB26-4507-9F98-A3D2A426F1A6}" name="総数／事業所数" totalsRowFunction="custom" totalsRowDxfId="40" dataCellStyle="桁区切り" totalsRowCellStyle="桁区切り">
      <totalsRowFormula>SUM(LTBL_23561[総数／事業所数])</totalsRowFormula>
    </tableColumn>
    <tableColumn id="11" xr3:uid="{6B257CF5-C9EE-4559-95AC-0C2A2EDCB479}" name="総数／構成比" dataDxfId="39"/>
    <tableColumn id="12" xr3:uid="{17C75AC7-C32A-4DB9-9038-B44E35DCA79A}" name="個人／事業所数" totalsRowFunction="sum" totalsRowDxfId="38" dataCellStyle="桁区切り" totalsRowCellStyle="桁区切り"/>
    <tableColumn id="13" xr3:uid="{78A02140-DDE1-49D1-9D9C-FAB107861948}" name="個人／構成比" dataDxfId="37"/>
    <tableColumn id="14" xr3:uid="{3694C1D5-98EA-4765-894F-3730FDC5A6D0}" name="法人／事業所数" totalsRowFunction="sum" totalsRowDxfId="36" dataCellStyle="桁区切り" totalsRowCellStyle="桁区切り"/>
    <tableColumn id="15" xr3:uid="{E0B89D41-C5A9-44A1-9799-47D88E615610}" name="法人／構成比" dataDxfId="35"/>
    <tableColumn id="16" xr3:uid="{A54FFE4B-A00B-43F8-B2A6-E98AE1D7BB89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188BD844-F22D-4979-9F43-E15478F3A090}" name="M_TABLE_23561" displayName="M_TABLE_23561" ref="B23:I46" totalsRowShown="0">
  <autoFilter ref="B23:I46" xr:uid="{188BD844-F22D-4979-9F43-E15478F3A090}"/>
  <tableColumns count="8">
    <tableColumn id="9" xr3:uid="{F4828F85-FBC0-41C3-A0E8-6C2A3E0894BA}" name="産業中分類上位２０"/>
    <tableColumn id="10" xr3:uid="{90E122BE-2089-4D11-BFEF-D445C8A285BC}" name="総数／事業所数" dataCellStyle="桁区切り"/>
    <tableColumn id="11" xr3:uid="{0C9A4F79-2409-4534-9245-5E68F55AEE7D}" name="総数／構成比" dataDxfId="33"/>
    <tableColumn id="12" xr3:uid="{F5D100E0-269C-4195-A514-75A0EED8BF11}" name="個人／事業所数" dataCellStyle="桁区切り"/>
    <tableColumn id="13" xr3:uid="{CBA423AB-CE29-4407-B0EB-2A9AA5D9293C}" name="個人／構成比" dataDxfId="32"/>
    <tableColumn id="14" xr3:uid="{D8C7F974-7277-4BE4-BA2F-1387F871D7DF}" name="法人／事業所数" dataCellStyle="桁区切り"/>
    <tableColumn id="15" xr3:uid="{8AB39B55-D1FA-4E31-A92F-FCBFE66612AA}" name="法人／構成比" dataDxfId="31"/>
    <tableColumn id="16" xr3:uid="{12CA6C89-FF9A-4765-B12A-86528DC383B6}" name="法人以外の団体／事業所数" dataCellStyle="桁区切り"/>
  </tableColumns>
  <tableStyleInfo name="TableStyleMedium9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01827BA5-79CF-4E25-8C98-207D5C326A13}" name="S_TABLE_23561" displayName="S_TABLE_23561" ref="B49:I88" totalsRowShown="0">
  <autoFilter ref="B49:I88" xr:uid="{01827BA5-79CF-4E25-8C98-207D5C326A13}"/>
  <tableColumns count="8">
    <tableColumn id="9" xr3:uid="{9E483232-8775-4786-A5DB-AE170F7D782E}" name="産業小分類上位２０"/>
    <tableColumn id="10" xr3:uid="{392993EC-3289-484B-8E88-39B9C3502CBA}" name="総数／事業所数" dataCellStyle="桁区切り"/>
    <tableColumn id="11" xr3:uid="{FD096FEB-CBFE-43CC-B603-BB57DDFE4D57}" name="総数／構成比" dataDxfId="30"/>
    <tableColumn id="12" xr3:uid="{B41C698C-9AB7-4D56-B66C-72CFA6172E51}" name="個人／事業所数" dataCellStyle="桁区切り"/>
    <tableColumn id="13" xr3:uid="{CCF16C3E-83D7-4561-953D-D89F70421ACB}" name="個人／構成比" dataDxfId="29"/>
    <tableColumn id="14" xr3:uid="{17CE8F48-C5DB-45A9-A428-0294C4F4BFAE}" name="法人／事業所数" dataCellStyle="桁区切り"/>
    <tableColumn id="15" xr3:uid="{56F158C5-BD89-4365-B9DF-313874FA46FC}" name="法人／構成比" dataDxfId="28"/>
    <tableColumn id="16" xr3:uid="{C8DA09CE-50A9-45D2-93DB-DE3B17B32FA4}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E786B196-313D-4458-98ED-1A0F7E07FCE5}" name="LTBL_23562" displayName="LTBL_23562" ref="B4:I20" totalsRowCount="1">
  <autoFilter ref="B4:I19" xr:uid="{E786B196-313D-4458-98ED-1A0F7E07FCE5}"/>
  <tableColumns count="8">
    <tableColumn id="9" xr3:uid="{D1A70ECF-9057-4EC7-BCAF-EE3E70084B1E}" name="産業大分類" totalsRowLabel="合計" totalsRowDxfId="27"/>
    <tableColumn id="10" xr3:uid="{A41AF3E2-7D94-4944-BBAE-3FD3736BD868}" name="総数／事業所数" totalsRowFunction="custom" totalsRowDxfId="26" dataCellStyle="桁区切り" totalsRowCellStyle="桁区切り">
      <totalsRowFormula>SUM(LTBL_23562[総数／事業所数])</totalsRowFormula>
    </tableColumn>
    <tableColumn id="11" xr3:uid="{E50F6343-94F2-47EA-94D6-380EAEFE92BB}" name="総数／構成比" dataDxfId="25"/>
    <tableColumn id="12" xr3:uid="{D6E6351E-15DF-483D-91D7-C4E54CDF8751}" name="個人／事業所数" totalsRowFunction="sum" totalsRowDxfId="24" dataCellStyle="桁区切り" totalsRowCellStyle="桁区切り"/>
    <tableColumn id="13" xr3:uid="{85E19576-D548-41AB-BD7A-8CB893C499AA}" name="個人／構成比" dataDxfId="23"/>
    <tableColumn id="14" xr3:uid="{B88E7E0E-7C12-46A1-8B1E-A37147881621}" name="法人／事業所数" totalsRowFunction="sum" totalsRowDxfId="22" dataCellStyle="桁区切り" totalsRowCellStyle="桁区切り"/>
    <tableColumn id="15" xr3:uid="{15F9D87C-377D-4AE1-B822-CF70FF7B9DE4}" name="法人／構成比" dataDxfId="21"/>
    <tableColumn id="16" xr3:uid="{13236A27-868C-4098-9DED-C71C2BCA3DEE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19423F49-3E30-413E-9173-DFBF3549788E}" name="M_TABLE_23562" displayName="M_TABLE_23562" ref="B23:I56" totalsRowShown="0">
  <autoFilter ref="B23:I56" xr:uid="{19423F49-3E30-413E-9173-DFBF3549788E}"/>
  <tableColumns count="8">
    <tableColumn id="9" xr3:uid="{CB77DC7D-4C0C-4564-910E-4B6137B86AF5}" name="産業中分類上位２０"/>
    <tableColumn id="10" xr3:uid="{5726E9D6-E140-4433-91AC-61BDEE2C9D9A}" name="総数／事業所数" dataCellStyle="桁区切り"/>
    <tableColumn id="11" xr3:uid="{012C7C83-3D01-4913-9B05-A9171A5BB664}" name="総数／構成比" dataDxfId="19"/>
    <tableColumn id="12" xr3:uid="{F48608A7-F67B-47CB-93F9-5F40923ABA93}" name="個人／事業所数" dataCellStyle="桁区切り"/>
    <tableColumn id="13" xr3:uid="{CCED0BA3-B1D3-4838-8FF4-740CE4365227}" name="個人／構成比" dataDxfId="18"/>
    <tableColumn id="14" xr3:uid="{4BAD209A-F905-4698-B3A5-14F9DC5F6275}" name="法人／事業所数" dataCellStyle="桁区切り"/>
    <tableColumn id="15" xr3:uid="{23F1DC81-7348-49BA-AEC2-1F8906E11D37}" name="法人／構成比" dataDxfId="17"/>
    <tableColumn id="16" xr3:uid="{F33153EE-2779-40DF-A943-7FFB0413D284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A8735A3-5066-4309-B615-55329DD26E98}" name="S_TABLE_23105" displayName="S_TABLE_23105" ref="B46:I66" totalsRowShown="0">
  <autoFilter ref="B46:I66" xr:uid="{5A8735A3-5066-4309-B615-55329DD26E98}"/>
  <tableColumns count="8">
    <tableColumn id="9" xr3:uid="{083A5689-21C6-41CA-9A49-890C7D44E793}" name="産業小分類上位２０"/>
    <tableColumn id="10" xr3:uid="{52355546-3662-4E22-A45C-244FB6B184FE}" name="総数／事業所数" dataCellStyle="桁区切り"/>
    <tableColumn id="11" xr3:uid="{413BB405-E342-4EBE-8FF6-FC3992B843CF}" name="総数／構成比" dataDxfId="898"/>
    <tableColumn id="12" xr3:uid="{8A6FAD41-257C-47B2-A4D4-C155FF510FC1}" name="個人／事業所数" dataCellStyle="桁区切り"/>
    <tableColumn id="13" xr3:uid="{86C27701-9F60-45C7-ABEB-D2B0123F0EA3}" name="個人／構成比" dataDxfId="897"/>
    <tableColumn id="14" xr3:uid="{E6E8313E-4333-4244-9A6E-CC159A719039}" name="法人／事業所数" dataCellStyle="桁区切り"/>
    <tableColumn id="15" xr3:uid="{CEB60625-1042-425A-984E-6E4C8D2A6F5D}" name="法人／構成比" dataDxfId="896"/>
    <tableColumn id="16" xr3:uid="{4E9EA536-2F2B-4132-B634-32423801788C}" name="法人以外の団体／事業所数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6E2C000E-4C9E-4FFB-AE88-8E111E1C7B84}" name="S_TABLE_23562" displayName="S_TABLE_23562" ref="B59:I85" totalsRowShown="0">
  <autoFilter ref="B59:I85" xr:uid="{6E2C000E-4C9E-4FFB-AE88-8E111E1C7B84}"/>
  <tableColumns count="8">
    <tableColumn id="9" xr3:uid="{17F12F95-FF68-4E4C-B829-809CA0254610}" name="産業小分類上位２０"/>
    <tableColumn id="10" xr3:uid="{5B245550-9ACD-4F83-93BD-78C2D1030252}" name="総数／事業所数" dataCellStyle="桁区切り"/>
    <tableColumn id="11" xr3:uid="{9F7D4F88-485A-449F-B349-407C7F939F94}" name="総数／構成比" dataDxfId="16"/>
    <tableColumn id="12" xr3:uid="{CB13AB85-A18B-49E1-8555-0D320797CB46}" name="個人／事業所数" dataCellStyle="桁区切り"/>
    <tableColumn id="13" xr3:uid="{C9AE5FCB-33A3-4597-8405-12D47BF10620}" name="個人／構成比" dataDxfId="15"/>
    <tableColumn id="14" xr3:uid="{98C70DE7-7189-46A6-B8EC-F0CA93BABB0A}" name="法人／事業所数" dataCellStyle="桁区切り"/>
    <tableColumn id="15" xr3:uid="{3FEE6E69-0D3A-4D00-B8B5-F9C9CC9FA337}" name="法人／構成比" dataDxfId="14"/>
    <tableColumn id="16" xr3:uid="{8D1BB5FD-5017-4C13-A8B9-79138A77E5BA}" name="法人以外の団体／事業所数" dataCellStyle="桁区切り"/>
  </tableColumns>
  <tableStyleInfo name="TableStyleMedium9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FAEACD5B-2D61-402A-BBC1-9008B1EE0DF7}" name="LTBL_23563" displayName="LTBL_23563" ref="B4:I20" totalsRowCount="1">
  <autoFilter ref="B4:I19" xr:uid="{FAEACD5B-2D61-402A-BBC1-9008B1EE0DF7}"/>
  <tableColumns count="8">
    <tableColumn id="9" xr3:uid="{641D8517-050A-45CB-85D3-E3AF29F1E418}" name="産業大分類" totalsRowLabel="合計" totalsRowDxfId="13"/>
    <tableColumn id="10" xr3:uid="{21DC2C03-2261-4EEA-8720-F2F05737B679}" name="総数／事業所数" totalsRowFunction="custom" totalsRowDxfId="12" dataCellStyle="桁区切り" totalsRowCellStyle="桁区切り">
      <totalsRowFormula>SUM(LTBL_23563[総数／事業所数])</totalsRowFormula>
    </tableColumn>
    <tableColumn id="11" xr3:uid="{E4286055-889E-46BB-832E-030466861A40}" name="総数／構成比" dataDxfId="11"/>
    <tableColumn id="12" xr3:uid="{FACE3EBD-8B3C-4404-BA6E-DAF39D5FB1E1}" name="個人／事業所数" totalsRowFunction="sum" totalsRowDxfId="10" dataCellStyle="桁区切り" totalsRowCellStyle="桁区切り"/>
    <tableColumn id="13" xr3:uid="{1B3D8D7E-D60A-4FCD-970F-8230D82D805F}" name="個人／構成比" dataDxfId="9"/>
    <tableColumn id="14" xr3:uid="{335F9D89-6845-4E16-9CFE-C877FA71D2C1}" name="法人／事業所数" totalsRowFunction="sum" totalsRowDxfId="8" dataCellStyle="桁区切り" totalsRowCellStyle="桁区切り"/>
    <tableColumn id="15" xr3:uid="{5C52F759-7835-4601-A2DA-5D0A228948C9}" name="法人／構成比" dataDxfId="7"/>
    <tableColumn id="16" xr3:uid="{EBF92060-EA76-47C0-A8FB-538A2AE902F9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7DFD3050-00BA-4ADB-8C4E-76BFC128A4F0}" name="M_TABLE_23563" displayName="M_TABLE_23563" ref="B23:I44" totalsRowShown="0">
  <autoFilter ref="B23:I44" xr:uid="{7DFD3050-00BA-4ADB-8C4E-76BFC128A4F0}"/>
  <tableColumns count="8">
    <tableColumn id="9" xr3:uid="{391F89AF-A7C6-4A13-B7F1-96B923291432}" name="産業中分類上位２０"/>
    <tableColumn id="10" xr3:uid="{CF905602-1B31-4C4E-9D22-B4E069D97B3F}" name="総数／事業所数" dataCellStyle="桁区切り"/>
    <tableColumn id="11" xr3:uid="{F9AC1291-007F-427D-B008-90E2E1F0679B}" name="総数／構成比" dataDxfId="5"/>
    <tableColumn id="12" xr3:uid="{7FC5A0B3-B5A6-4836-8FFA-33FDACF7AD8D}" name="個人／事業所数" dataCellStyle="桁区切り"/>
    <tableColumn id="13" xr3:uid="{5E90FDDE-B645-49B1-AEE5-36EA7FF59798}" name="個人／構成比" dataDxfId="4"/>
    <tableColumn id="14" xr3:uid="{94EBE5C4-46EA-4083-B0D2-1017A997E7E4}" name="法人／事業所数" dataCellStyle="桁区切り"/>
    <tableColumn id="15" xr3:uid="{C888A417-5399-4613-93B3-91D82034B2BE}" name="法人／構成比" dataDxfId="3"/>
    <tableColumn id="16" xr3:uid="{60FC7398-BD11-4D4D-B3D1-9D557259A5F3}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714389D6-C94A-4166-8987-17636B8AAE4A}" name="S_TABLE_23563" displayName="S_TABLE_23563" ref="B47:I77" totalsRowShown="0">
  <autoFilter ref="B47:I77" xr:uid="{714389D6-C94A-4166-8987-17636B8AAE4A}"/>
  <tableColumns count="8">
    <tableColumn id="9" xr3:uid="{93CFAE31-4C3B-4566-8857-863D7D9A707A}" name="産業小分類上位２０"/>
    <tableColumn id="10" xr3:uid="{6B144310-A916-409B-B152-DD54539F3FEF}" name="総数／事業所数" dataCellStyle="桁区切り"/>
    <tableColumn id="11" xr3:uid="{5B11949F-7587-4AE0-9835-D5A28E89657C}" name="総数／構成比" dataDxfId="2"/>
    <tableColumn id="12" xr3:uid="{BD337C52-4C2C-4052-8D39-F397E0808AED}" name="個人／事業所数" dataCellStyle="桁区切り"/>
    <tableColumn id="13" xr3:uid="{64F66CDA-EA7D-486E-9CCB-A4A49B89684D}" name="個人／構成比" dataDxfId="1"/>
    <tableColumn id="14" xr3:uid="{C660F2EA-3358-445C-91E7-F5249B49317F}" name="法人／事業所数" dataCellStyle="桁区切り"/>
    <tableColumn id="15" xr3:uid="{FA79F4AD-BEA3-4490-ACDF-C62061EBEDA0}" name="法人／構成比" dataDxfId="0"/>
    <tableColumn id="16" xr3:uid="{70F7E74D-A2F0-4AA1-B1FD-6343A1BC233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8FD2382-039A-42EF-B57F-6B3AEF0F64A0}" name="LTBL_23106" displayName="LTBL_23106" ref="B4:I20" totalsRowCount="1">
  <autoFilter ref="B4:I19" xr:uid="{48FD2382-039A-42EF-B57F-6B3AEF0F64A0}"/>
  <tableColumns count="8">
    <tableColumn id="9" xr3:uid="{EAF68B1D-4460-41B7-8F9B-76234CA79A7D}" name="産業大分類" totalsRowLabel="合計" totalsRowDxfId="895"/>
    <tableColumn id="10" xr3:uid="{CD0A12FC-16FC-4655-B592-9CECCFF3E739}" name="総数／事業所数" totalsRowFunction="custom" totalsRowDxfId="894" dataCellStyle="桁区切り" totalsRowCellStyle="桁区切り">
      <totalsRowFormula>SUM(LTBL_23106[総数／事業所数])</totalsRowFormula>
    </tableColumn>
    <tableColumn id="11" xr3:uid="{86873BE8-D711-467B-A526-0E6D250398AB}" name="総数／構成比" dataDxfId="893"/>
    <tableColumn id="12" xr3:uid="{410397E7-6C16-4892-B49E-7F1FB2D1AE4A}" name="個人／事業所数" totalsRowFunction="sum" totalsRowDxfId="892" dataCellStyle="桁区切り" totalsRowCellStyle="桁区切り"/>
    <tableColumn id="13" xr3:uid="{CAF9E182-77DA-4512-A0DA-359B73EBE964}" name="個人／構成比" dataDxfId="891"/>
    <tableColumn id="14" xr3:uid="{B044EC9D-D544-40CC-BBFC-C087E3C60DF1}" name="法人／事業所数" totalsRowFunction="sum" totalsRowDxfId="890" dataCellStyle="桁区切り" totalsRowCellStyle="桁区切り"/>
    <tableColumn id="15" xr3:uid="{15258451-084D-44F9-98A2-D79757EEB06D}" name="法人／構成比" dataDxfId="889"/>
    <tableColumn id="16" xr3:uid="{E58842DD-F046-415C-AE70-977234F52EB9}" name="法人以外の団体／事業所数" totalsRowFunction="sum" totalsRowDxfId="88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38AA8E5-0DB3-4497-A61B-A5D83B9E5AAF}" name="M_TABLE_23106" displayName="M_TABLE_23106" ref="B23:I43" totalsRowShown="0">
  <autoFilter ref="B23:I43" xr:uid="{038AA8E5-0DB3-4497-A61B-A5D83B9E5AAF}"/>
  <tableColumns count="8">
    <tableColumn id="9" xr3:uid="{00A60E4D-382B-47F9-BCF0-1C6568ACB1CB}" name="産業中分類上位２０"/>
    <tableColumn id="10" xr3:uid="{2C0B3ABE-A79C-46FF-88DA-4F25BC0EA172}" name="総数／事業所数" dataCellStyle="桁区切り"/>
    <tableColumn id="11" xr3:uid="{699CE9C6-D6D7-40F7-9F4D-F85025C422D8}" name="総数／構成比" dataDxfId="887"/>
    <tableColumn id="12" xr3:uid="{4DA4078E-AA28-4C4F-8856-FF2D44E1454E}" name="個人／事業所数" dataCellStyle="桁区切り"/>
    <tableColumn id="13" xr3:uid="{C7E80E7A-A776-451B-A588-09FC1D6552F6}" name="個人／構成比" dataDxfId="886"/>
    <tableColumn id="14" xr3:uid="{52692A44-4EA0-439C-85E5-6033F0376DBD}" name="法人／事業所数" dataCellStyle="桁区切り"/>
    <tableColumn id="15" xr3:uid="{0A9D181D-8B2A-450F-B9A1-E3C41F856F2D}" name="法人／構成比" dataDxfId="885"/>
    <tableColumn id="16" xr3:uid="{6421843A-F08E-4D73-93CB-3EB8E2E16F7B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2AFCC43-9F6B-444F-A721-E7F01FAEFC25}" name="S_TABLE_23106" displayName="S_TABLE_23106" ref="B46:I66" totalsRowShown="0">
  <autoFilter ref="B46:I66" xr:uid="{B2AFCC43-9F6B-444F-A721-E7F01FAEFC25}"/>
  <tableColumns count="8">
    <tableColumn id="9" xr3:uid="{825C8E5D-0DCE-4E62-9CF7-ABC89F4E862A}" name="産業小分類上位２０"/>
    <tableColumn id="10" xr3:uid="{944A77C8-1FEA-4692-BDB3-535593E4FC97}" name="総数／事業所数" dataCellStyle="桁区切り"/>
    <tableColumn id="11" xr3:uid="{B2BFE807-C63D-42B5-A12E-4253ADCF23E6}" name="総数／構成比" dataDxfId="884"/>
    <tableColumn id="12" xr3:uid="{629467E8-A14B-4FF5-AA71-30146CDF9F12}" name="個人／事業所数" dataCellStyle="桁区切り"/>
    <tableColumn id="13" xr3:uid="{99FB4C59-0C7F-4641-9778-FE3E322E1D78}" name="個人／構成比" dataDxfId="883"/>
    <tableColumn id="14" xr3:uid="{F34BB640-015C-4624-8C1A-291724A8540D}" name="法人／事業所数" dataCellStyle="桁区切り"/>
    <tableColumn id="15" xr3:uid="{C3E8F3BE-D56E-46D1-A610-DB1E9C7CE6DE}" name="法人／構成比" dataDxfId="882"/>
    <tableColumn id="16" xr3:uid="{2F6208D2-8F34-4D2B-8807-E2BCCFC58603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65CC0C0-3B7F-4A30-BA6C-9947E8E59123}" name="LTBL_23107" displayName="LTBL_23107" ref="B4:I20" totalsRowCount="1">
  <autoFilter ref="B4:I19" xr:uid="{B65CC0C0-3B7F-4A30-BA6C-9947E8E59123}"/>
  <tableColumns count="8">
    <tableColumn id="9" xr3:uid="{67C5239F-7223-43D8-9746-7717AF1C46DE}" name="産業大分類" totalsRowLabel="合計" totalsRowDxfId="881"/>
    <tableColumn id="10" xr3:uid="{5A18F8E3-22D4-4207-A165-EBEC1C8F3E24}" name="総数／事業所数" totalsRowFunction="custom" totalsRowDxfId="880" dataCellStyle="桁区切り" totalsRowCellStyle="桁区切り">
      <totalsRowFormula>SUM(LTBL_23107[総数／事業所数])</totalsRowFormula>
    </tableColumn>
    <tableColumn id="11" xr3:uid="{69EABC4F-C6CF-4D45-9DC3-7A67E913EC9E}" name="総数／構成比" dataDxfId="879"/>
    <tableColumn id="12" xr3:uid="{8337E427-C596-4873-840C-42397FD8B3F5}" name="個人／事業所数" totalsRowFunction="sum" totalsRowDxfId="878" dataCellStyle="桁区切り" totalsRowCellStyle="桁区切り"/>
    <tableColumn id="13" xr3:uid="{8C1C13F0-E1BE-44F9-823D-F126428F6D3A}" name="個人／構成比" dataDxfId="877"/>
    <tableColumn id="14" xr3:uid="{CDA080A2-ED43-4E53-9390-19EE20967ADA}" name="法人／事業所数" totalsRowFunction="sum" totalsRowDxfId="876" dataCellStyle="桁区切り" totalsRowCellStyle="桁区切り"/>
    <tableColumn id="15" xr3:uid="{20D7AA46-8E4F-4655-BFA4-13228CE9F749}" name="法人／構成比" dataDxfId="875"/>
    <tableColumn id="16" xr3:uid="{6ED90CCA-A091-4F47-9591-8AA20C76AB57}" name="法人以外の団体／事業所数" totalsRowFunction="sum" totalsRowDxfId="87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9743525-73E1-4430-AE49-322776E29E19}" name="M_TABLE_23107" displayName="M_TABLE_23107" ref="B23:I43" totalsRowShown="0">
  <autoFilter ref="B23:I43" xr:uid="{39743525-73E1-4430-AE49-322776E29E19}"/>
  <tableColumns count="8">
    <tableColumn id="9" xr3:uid="{E2EC7338-2D56-43B3-B414-5ABCD235C202}" name="産業中分類上位２０"/>
    <tableColumn id="10" xr3:uid="{4127D8CE-4C81-458A-ADFC-BDFF6ED3744C}" name="総数／事業所数" dataCellStyle="桁区切り"/>
    <tableColumn id="11" xr3:uid="{9C9DDA3B-A74F-4E13-85D9-E48F47543697}" name="総数／構成比" dataDxfId="873"/>
    <tableColumn id="12" xr3:uid="{0EE72D6B-0D8D-42E6-B037-E99E3194A115}" name="個人／事業所数" dataCellStyle="桁区切り"/>
    <tableColumn id="13" xr3:uid="{EA42D501-0C57-40F8-B9EC-F750C8166772}" name="個人／構成比" dataDxfId="872"/>
    <tableColumn id="14" xr3:uid="{9B096601-5C14-4ED2-B89C-8CF2914B8B1C}" name="法人／事業所数" dataCellStyle="桁区切り"/>
    <tableColumn id="15" xr3:uid="{1A65EE49-3A33-4F9B-B497-B6C156B3C544}" name="法人／構成比" dataDxfId="871"/>
    <tableColumn id="16" xr3:uid="{5C0D0B40-E38E-49A7-963C-D776DCA1BE31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32892D0-253F-4EBF-9B77-AA67D17BE113}" name="S_TABLE_23107" displayName="S_TABLE_23107" ref="B46:I66" totalsRowShown="0">
  <autoFilter ref="B46:I66" xr:uid="{D32892D0-253F-4EBF-9B77-AA67D17BE113}"/>
  <tableColumns count="8">
    <tableColumn id="9" xr3:uid="{8A9674B1-2257-434B-BF84-8DA95E764DA3}" name="産業小分類上位２０"/>
    <tableColumn id="10" xr3:uid="{5B8E87CF-DAAD-44A6-BF28-D6D65D848EB1}" name="総数／事業所数" dataCellStyle="桁区切り"/>
    <tableColumn id="11" xr3:uid="{341FDE0D-0C3B-4134-BD74-71BBB148BF01}" name="総数／構成比" dataDxfId="870"/>
    <tableColumn id="12" xr3:uid="{72964692-9694-45D0-9796-9B93B65FB61B}" name="個人／事業所数" dataCellStyle="桁区切り"/>
    <tableColumn id="13" xr3:uid="{0B12E38C-EC19-4BD4-9D79-D54D2B43AC56}" name="個人／構成比" dataDxfId="869"/>
    <tableColumn id="14" xr3:uid="{656229F1-C36B-46CD-A093-1CE21C88D5D7}" name="法人／事業所数" dataCellStyle="桁区切り"/>
    <tableColumn id="15" xr3:uid="{760F41BF-0139-4270-9A22-D4BE7DF1A942}" name="法人／構成比" dataDxfId="868"/>
    <tableColumn id="16" xr3:uid="{54155394-82B3-484D-B3B3-95F2CB437339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22DEB6E-DDC6-4550-893D-EEC1145A12A2}" name="LTBL_23108" displayName="LTBL_23108" ref="B4:I20" totalsRowCount="1">
  <autoFilter ref="B4:I19" xr:uid="{922DEB6E-DDC6-4550-893D-EEC1145A12A2}"/>
  <tableColumns count="8">
    <tableColumn id="9" xr3:uid="{C8575A2E-B293-420A-8DA0-67965DD1FB50}" name="産業大分類" totalsRowLabel="合計" totalsRowDxfId="867"/>
    <tableColumn id="10" xr3:uid="{3BFC9BBE-17D2-408D-B2AF-606DF7C3EE4A}" name="総数／事業所数" totalsRowFunction="custom" totalsRowDxfId="866" dataCellStyle="桁区切り" totalsRowCellStyle="桁区切り">
      <totalsRowFormula>SUM(LTBL_23108[総数／事業所数])</totalsRowFormula>
    </tableColumn>
    <tableColumn id="11" xr3:uid="{2E50D31B-F955-462B-8AD9-E814D1B6B31D}" name="総数／構成比" dataDxfId="865"/>
    <tableColumn id="12" xr3:uid="{02773A8F-E734-4D24-A7F1-6CF7EB7E1D50}" name="個人／事業所数" totalsRowFunction="sum" totalsRowDxfId="864" dataCellStyle="桁区切り" totalsRowCellStyle="桁区切り"/>
    <tableColumn id="13" xr3:uid="{45C0B969-BF17-4891-B35A-844AD8F5F1CA}" name="個人／構成比" dataDxfId="863"/>
    <tableColumn id="14" xr3:uid="{77F99F29-DB97-4FB7-8119-3FBA4107C856}" name="法人／事業所数" totalsRowFunction="sum" totalsRowDxfId="862" dataCellStyle="桁区切り" totalsRowCellStyle="桁区切り"/>
    <tableColumn id="15" xr3:uid="{E000B4B0-0BBC-4D71-8934-8EAC96DA3C5C}" name="法人／構成比" dataDxfId="861"/>
    <tableColumn id="16" xr3:uid="{E0B66651-12FA-48A4-B372-C24982C8B792}" name="法人以外の団体／事業所数" totalsRowFunction="sum" totalsRowDxfId="86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2B0BD92-53C6-4043-85FE-3C0B3987AF20}" name="M_TABLE_23108" displayName="M_TABLE_23108" ref="B23:I43" totalsRowShown="0">
  <autoFilter ref="B23:I43" xr:uid="{92B0BD92-53C6-4043-85FE-3C0B3987AF20}"/>
  <tableColumns count="8">
    <tableColumn id="9" xr3:uid="{B8C82DD7-A033-496F-9885-112884CAC6F2}" name="産業中分類上位２０"/>
    <tableColumn id="10" xr3:uid="{88D0E7AB-70EB-4B4F-8B4E-98F34F3A48B8}" name="総数／事業所数" dataCellStyle="桁区切り"/>
    <tableColumn id="11" xr3:uid="{2CE18A44-A830-4327-9764-F1AAF2BF336C}" name="総数／構成比" dataDxfId="859"/>
    <tableColumn id="12" xr3:uid="{852DB27E-5E7B-4E48-9567-3773E90A7BB7}" name="個人／事業所数" dataCellStyle="桁区切り"/>
    <tableColumn id="13" xr3:uid="{E474985B-8DF8-4E5D-A89B-37417F7018D9}" name="個人／構成比" dataDxfId="858"/>
    <tableColumn id="14" xr3:uid="{E0C0DA0D-36EC-4DD3-B199-28CC35A2CE81}" name="法人／事業所数" dataCellStyle="桁区切り"/>
    <tableColumn id="15" xr3:uid="{194529EC-DE1C-442E-A1C9-01074A7F08B6}" name="法人／構成比" dataDxfId="857"/>
    <tableColumn id="16" xr3:uid="{05B54C57-6F72-40BD-A3D5-C8777487D08E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DCB3D5A-852D-4FE7-B964-C681E9507915}" name="S_TABLE_23000" displayName="S_TABLE_23000" ref="B46:I66" totalsRowShown="0">
  <autoFilter ref="B46:I66" xr:uid="{0DCB3D5A-852D-4FE7-B964-C681E9507915}"/>
  <tableColumns count="8">
    <tableColumn id="9" xr3:uid="{3F8C217E-788C-4A83-A8F2-BD42227F163E}" name="産業小分類上位２０"/>
    <tableColumn id="10" xr3:uid="{64354C51-588C-412C-B57F-3D16687AB445}" name="総数／事業所数" dataCellStyle="桁区切り"/>
    <tableColumn id="11" xr3:uid="{98BFECB5-8591-49F4-BD83-ED7831CF2CC3}" name="総数／構成比" dataDxfId="982"/>
    <tableColumn id="12" xr3:uid="{0A08C7B1-35BF-4FEE-8EE4-4C762CE4194D}" name="個人／事業所数" dataCellStyle="桁区切り"/>
    <tableColumn id="13" xr3:uid="{D080DFBF-F33D-4375-87B6-2172E4CD2F77}" name="個人／構成比" dataDxfId="981"/>
    <tableColumn id="14" xr3:uid="{D6F5A542-E73C-4CBA-9312-1836AE1E4174}" name="法人／事業所数" dataCellStyle="桁区切り"/>
    <tableColumn id="15" xr3:uid="{4E042AF3-8AE2-4947-9893-601F9543E8EB}" name="法人／構成比" dataDxfId="980"/>
    <tableColumn id="16" xr3:uid="{8B589B34-DBBC-441F-81AB-B744E0B533CD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2D89A1A-3B7B-4116-8B00-B8DE1B58BEAE}" name="S_TABLE_23108" displayName="S_TABLE_23108" ref="B46:I67" totalsRowShown="0">
  <autoFilter ref="B46:I67" xr:uid="{B2D89A1A-3B7B-4116-8B00-B8DE1B58BEAE}"/>
  <tableColumns count="8">
    <tableColumn id="9" xr3:uid="{1AAEF08C-7ADB-4EC1-BD3B-FA53917914E4}" name="産業小分類上位２０"/>
    <tableColumn id="10" xr3:uid="{E94ACCA8-469D-43AA-8462-319EF38597F6}" name="総数／事業所数" dataCellStyle="桁区切り"/>
    <tableColumn id="11" xr3:uid="{9687288C-50A1-4693-B9F1-83CFDFF5E4D5}" name="総数／構成比" dataDxfId="856"/>
    <tableColumn id="12" xr3:uid="{491CB4B9-8D7D-4A63-AB9C-70740BFA638C}" name="個人／事業所数" dataCellStyle="桁区切り"/>
    <tableColumn id="13" xr3:uid="{1A643A11-18A7-4F2B-ADFC-E55FBFF38F40}" name="個人／構成比" dataDxfId="855"/>
    <tableColumn id="14" xr3:uid="{354D0123-62E9-4518-A64E-9566A9BA7F7B}" name="法人／事業所数" dataCellStyle="桁区切り"/>
    <tableColumn id="15" xr3:uid="{E482D8B8-2F2B-440B-9B99-3ECD489311B6}" name="法人／構成比" dataDxfId="854"/>
    <tableColumn id="16" xr3:uid="{05F26BC9-B364-48F9-B62E-A2E1A85103E0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632C300-3695-484C-896B-1F5711906D3F}" name="LTBL_23109" displayName="LTBL_23109" ref="B4:I20" totalsRowCount="1">
  <autoFilter ref="B4:I19" xr:uid="{6632C300-3695-484C-896B-1F5711906D3F}"/>
  <tableColumns count="8">
    <tableColumn id="9" xr3:uid="{A7BCE961-1BF4-4CF9-823B-32D6CD920DBA}" name="産業大分類" totalsRowLabel="合計" totalsRowDxfId="853"/>
    <tableColumn id="10" xr3:uid="{333857AD-4869-42A3-A32A-1AE6BD789B1F}" name="総数／事業所数" totalsRowFunction="custom" totalsRowDxfId="852" dataCellStyle="桁区切り" totalsRowCellStyle="桁区切り">
      <totalsRowFormula>SUM(LTBL_23109[総数／事業所数])</totalsRowFormula>
    </tableColumn>
    <tableColumn id="11" xr3:uid="{87FFFBD5-F9A2-40D3-B6CA-28FC3214FD60}" name="総数／構成比" dataDxfId="851"/>
    <tableColumn id="12" xr3:uid="{A36361DC-A9CD-4E7F-82C5-6AF825CC61C5}" name="個人／事業所数" totalsRowFunction="sum" totalsRowDxfId="850" dataCellStyle="桁区切り" totalsRowCellStyle="桁区切り"/>
    <tableColumn id="13" xr3:uid="{66ED3144-56F0-45E2-A087-4008CD38EB28}" name="個人／構成比" dataDxfId="849"/>
    <tableColumn id="14" xr3:uid="{84DED4C6-9635-4ECF-8B18-822B393B103B}" name="法人／事業所数" totalsRowFunction="sum" totalsRowDxfId="848" dataCellStyle="桁区切り" totalsRowCellStyle="桁区切り"/>
    <tableColumn id="15" xr3:uid="{ADFA3F84-5670-430D-9F58-F21B1BC58B20}" name="法人／構成比" dataDxfId="847"/>
    <tableColumn id="16" xr3:uid="{9FE7B364-31EC-46AA-9E9B-F1C90FDFAAC4}" name="法人以外の団体／事業所数" totalsRowFunction="sum" totalsRowDxfId="84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B64F3CF-F1AC-48ED-815B-4A39CF476829}" name="M_TABLE_23109" displayName="M_TABLE_23109" ref="B23:I43" totalsRowShown="0">
  <autoFilter ref="B23:I43" xr:uid="{CB64F3CF-F1AC-48ED-815B-4A39CF476829}"/>
  <tableColumns count="8">
    <tableColumn id="9" xr3:uid="{9DC9EA57-82A8-419F-8888-466323E60A30}" name="産業中分類上位２０"/>
    <tableColumn id="10" xr3:uid="{7069444C-0B9D-400D-B2D4-AA6354B1C4BC}" name="総数／事業所数" dataCellStyle="桁区切り"/>
    <tableColumn id="11" xr3:uid="{8187BFE0-BB88-4F70-893B-6DEA1D62B5C5}" name="総数／構成比" dataDxfId="845"/>
    <tableColumn id="12" xr3:uid="{ED3E261D-20CB-4A3C-BFA3-8DBE9E392890}" name="個人／事業所数" dataCellStyle="桁区切り"/>
    <tableColumn id="13" xr3:uid="{B32A1151-1658-4415-95D3-6195B1D5B30F}" name="個人／構成比" dataDxfId="844"/>
    <tableColumn id="14" xr3:uid="{7F75E26E-8E56-429A-A5A0-10238D482809}" name="法人／事業所数" dataCellStyle="桁区切り"/>
    <tableColumn id="15" xr3:uid="{F99EF1F1-4BC8-49B3-8F0B-D214A0A16700}" name="法人／構成比" dataDxfId="843"/>
    <tableColumn id="16" xr3:uid="{C01F224D-14F2-4850-8516-3BEBD52F9C43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4DF69F1-E6EF-4A6F-A8C7-5C2A23498223}" name="S_TABLE_23109" displayName="S_TABLE_23109" ref="B46:I66" totalsRowShown="0">
  <autoFilter ref="B46:I66" xr:uid="{44DF69F1-E6EF-4A6F-A8C7-5C2A23498223}"/>
  <tableColumns count="8">
    <tableColumn id="9" xr3:uid="{243EA135-4388-47A7-97A1-5A7AD85A2AB4}" name="産業小分類上位２０"/>
    <tableColumn id="10" xr3:uid="{5826F3FE-C36F-44D8-B416-F792DD10AC7A}" name="総数／事業所数" dataCellStyle="桁区切り"/>
    <tableColumn id="11" xr3:uid="{77937C45-4776-454E-9B1F-A2FBFED4D494}" name="総数／構成比" dataDxfId="842"/>
    <tableColumn id="12" xr3:uid="{AA5731CA-AE06-4969-8C56-12E9AEA41AD9}" name="個人／事業所数" dataCellStyle="桁区切り"/>
    <tableColumn id="13" xr3:uid="{B7857F17-2C95-46F8-83E4-2EAB549021DF}" name="個人／構成比" dataDxfId="841"/>
    <tableColumn id="14" xr3:uid="{9DF2E912-1313-47DC-98A6-20CB2B05552D}" name="法人／事業所数" dataCellStyle="桁区切り"/>
    <tableColumn id="15" xr3:uid="{FC0FCB31-E02A-4440-B418-4B43C09F425B}" name="法人／構成比" dataDxfId="840"/>
    <tableColumn id="16" xr3:uid="{9F4341DE-FFC7-4DA8-A907-BFCFA04F2259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E86C38A-ADD2-45DC-9157-B91A503C49A4}" name="LTBL_23110" displayName="LTBL_23110" ref="B4:I20" totalsRowCount="1">
  <autoFilter ref="B4:I19" xr:uid="{9E86C38A-ADD2-45DC-9157-B91A503C49A4}"/>
  <tableColumns count="8">
    <tableColumn id="9" xr3:uid="{2AFF8296-C379-4421-AD92-FB908242E9C0}" name="産業大分類" totalsRowLabel="合計" totalsRowDxfId="839"/>
    <tableColumn id="10" xr3:uid="{359A485C-497F-4808-BCDF-78AC1E8C07B6}" name="総数／事業所数" totalsRowFunction="custom" totalsRowDxfId="838" dataCellStyle="桁区切り" totalsRowCellStyle="桁区切り">
      <totalsRowFormula>SUM(LTBL_23110[総数／事業所数])</totalsRowFormula>
    </tableColumn>
    <tableColumn id="11" xr3:uid="{D5D271AB-87E2-40E4-8903-C3FA1E0BDE77}" name="総数／構成比" dataDxfId="837"/>
    <tableColumn id="12" xr3:uid="{324855E3-1C79-491D-AF8C-568D7A19BC53}" name="個人／事業所数" totalsRowFunction="sum" totalsRowDxfId="836" dataCellStyle="桁区切り" totalsRowCellStyle="桁区切り"/>
    <tableColumn id="13" xr3:uid="{52EDB2A1-7623-40CA-9AC2-11F93D41AEC5}" name="個人／構成比" dataDxfId="835"/>
    <tableColumn id="14" xr3:uid="{D0B78162-9158-46D7-B8BE-3C299043D43E}" name="法人／事業所数" totalsRowFunction="sum" totalsRowDxfId="834" dataCellStyle="桁区切り" totalsRowCellStyle="桁区切り"/>
    <tableColumn id="15" xr3:uid="{42B9EF9C-DBAF-4C53-9C3E-F5EDB39701FF}" name="法人／構成比" dataDxfId="833"/>
    <tableColumn id="16" xr3:uid="{72EA2470-8599-403B-BAD6-608DA6C53374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0AFB9F0-2A0E-4B3E-9A50-76BCD8816C68}" name="M_TABLE_23110" displayName="M_TABLE_23110" ref="B23:I43" totalsRowShown="0">
  <autoFilter ref="B23:I43" xr:uid="{50AFB9F0-2A0E-4B3E-9A50-76BCD8816C68}"/>
  <tableColumns count="8">
    <tableColumn id="9" xr3:uid="{95D175B2-F311-4B84-88A0-35D71A8A7F03}" name="産業中分類上位２０"/>
    <tableColumn id="10" xr3:uid="{9CCF22B5-3D9E-4AFC-9564-470A4508D075}" name="総数／事業所数" dataCellStyle="桁区切り"/>
    <tableColumn id="11" xr3:uid="{62B0C655-C003-4E42-80A9-C57C25F98B5B}" name="総数／構成比" dataDxfId="831"/>
    <tableColumn id="12" xr3:uid="{92AD504C-8EA9-48DD-81DC-1E3E9E775008}" name="個人／事業所数" dataCellStyle="桁区切り"/>
    <tableColumn id="13" xr3:uid="{31156CDD-D83B-4D05-B287-FD18D12ABFA1}" name="個人／構成比" dataDxfId="830"/>
    <tableColumn id="14" xr3:uid="{2A494ADB-C66A-41CA-9A78-E772ED334FE0}" name="法人／事業所数" dataCellStyle="桁区切り"/>
    <tableColumn id="15" xr3:uid="{ECD04002-8C8A-4CEF-9A29-5C03D3495B95}" name="法人／構成比" dataDxfId="829"/>
    <tableColumn id="16" xr3:uid="{99461FD8-6781-44E6-9D23-73D376580CD0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A63879D-A86B-41FA-A69F-EA10F3944906}" name="S_TABLE_23110" displayName="S_TABLE_23110" ref="B46:I66" totalsRowShown="0">
  <autoFilter ref="B46:I66" xr:uid="{9A63879D-A86B-41FA-A69F-EA10F3944906}"/>
  <tableColumns count="8">
    <tableColumn id="9" xr3:uid="{F5FB7354-D2EE-424D-B285-6F5E375A685F}" name="産業小分類上位２０"/>
    <tableColumn id="10" xr3:uid="{13EBBEBC-62C9-4E43-A55A-9B2BF5BBC8FC}" name="総数／事業所数" dataCellStyle="桁区切り"/>
    <tableColumn id="11" xr3:uid="{8C3FD493-BF8E-4AC6-B80B-A0E44CEFB906}" name="総数／構成比" dataDxfId="828"/>
    <tableColumn id="12" xr3:uid="{793E130E-F633-434D-84C7-F273972FF8EE}" name="個人／事業所数" dataCellStyle="桁区切り"/>
    <tableColumn id="13" xr3:uid="{F6E8E6BF-E800-4FAF-8CB9-941B89649097}" name="個人／構成比" dataDxfId="827"/>
    <tableColumn id="14" xr3:uid="{051CC368-6CB2-4CFD-AA0D-D8E32EC9A0B5}" name="法人／事業所数" dataCellStyle="桁区切り"/>
    <tableColumn id="15" xr3:uid="{EF2015F7-9CC3-4DA6-815C-93F3D5C1AFC8}" name="法人／構成比" dataDxfId="826"/>
    <tableColumn id="16" xr3:uid="{40F3E1FC-C09F-48A8-94D8-809F288598C4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9D8E831-02FA-47E1-9AE5-BF4F9D587C0B}" name="LTBL_23111" displayName="LTBL_23111" ref="B4:I20" totalsRowCount="1">
  <autoFilter ref="B4:I19" xr:uid="{99D8E831-02FA-47E1-9AE5-BF4F9D587C0B}"/>
  <tableColumns count="8">
    <tableColumn id="9" xr3:uid="{5EFDB8D0-D03D-4087-BE29-14E9EB31BA36}" name="産業大分類" totalsRowLabel="合計" totalsRowDxfId="825"/>
    <tableColumn id="10" xr3:uid="{D198DBC3-8ABC-499F-9F71-BA50A8D3A82F}" name="総数／事業所数" totalsRowFunction="custom" totalsRowDxfId="824" dataCellStyle="桁区切り" totalsRowCellStyle="桁区切り">
      <totalsRowFormula>SUM(LTBL_23111[総数／事業所数])</totalsRowFormula>
    </tableColumn>
    <tableColumn id="11" xr3:uid="{484B49F2-7728-400E-834A-CCAB0099005D}" name="総数／構成比" dataDxfId="823"/>
    <tableColumn id="12" xr3:uid="{BABA7FC2-2940-41AF-8517-1CB023C18C1F}" name="個人／事業所数" totalsRowFunction="sum" totalsRowDxfId="822" dataCellStyle="桁区切り" totalsRowCellStyle="桁区切り"/>
    <tableColumn id="13" xr3:uid="{E442B477-992D-4942-A7A7-CDA3A80E6F78}" name="個人／構成比" dataDxfId="821"/>
    <tableColumn id="14" xr3:uid="{87FCB608-A1D7-45B6-8B56-0102C149C6EB}" name="法人／事業所数" totalsRowFunction="sum" totalsRowDxfId="820" dataCellStyle="桁区切り" totalsRowCellStyle="桁区切り"/>
    <tableColumn id="15" xr3:uid="{5A956BFC-AE29-461C-8348-8E547E8248A7}" name="法人／構成比" dataDxfId="819"/>
    <tableColumn id="16" xr3:uid="{58316E9F-DD05-489E-A33E-3D848E46F6E2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DFD8559-EBEE-458E-B893-20379742CF8D}" name="M_TABLE_23111" displayName="M_TABLE_23111" ref="B23:I43" totalsRowShown="0">
  <autoFilter ref="B23:I43" xr:uid="{FDFD8559-EBEE-458E-B893-20379742CF8D}"/>
  <tableColumns count="8">
    <tableColumn id="9" xr3:uid="{5FE0E1AA-9F1B-499A-A155-63133E4156E7}" name="産業中分類上位２０"/>
    <tableColumn id="10" xr3:uid="{2D401DFB-DA7B-4C67-9E69-D8D42E21DAF6}" name="総数／事業所数" dataCellStyle="桁区切り"/>
    <tableColumn id="11" xr3:uid="{5A199B55-CB47-4126-945D-CD4091B8600F}" name="総数／構成比" dataDxfId="817"/>
    <tableColumn id="12" xr3:uid="{B66731C9-15BD-487B-98A2-11A7CBE27768}" name="個人／事業所数" dataCellStyle="桁区切り"/>
    <tableColumn id="13" xr3:uid="{9A09C54F-E296-4395-97FE-0F2FF8B0822C}" name="個人／構成比" dataDxfId="816"/>
    <tableColumn id="14" xr3:uid="{0204C412-B176-4A44-8D4D-E3B1037BB1E2}" name="法人／事業所数" dataCellStyle="桁区切り"/>
    <tableColumn id="15" xr3:uid="{B74CF943-4484-4D3A-908E-E45ED5281553}" name="法人／構成比" dataDxfId="815"/>
    <tableColumn id="16" xr3:uid="{4F1700C9-2942-4371-AEE4-2C9D8CDA0218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1704B82-DA30-4979-9526-A74D87F9ACF2}" name="S_TABLE_23111" displayName="S_TABLE_23111" ref="B46:I66" totalsRowShown="0">
  <autoFilter ref="B46:I66" xr:uid="{31704B82-DA30-4979-9526-A74D87F9ACF2}"/>
  <tableColumns count="8">
    <tableColumn id="9" xr3:uid="{9AAC2256-1937-478F-9BF9-4E1F9EFDCB8C}" name="産業小分類上位２０"/>
    <tableColumn id="10" xr3:uid="{90757F53-6D5F-4062-AD1E-F6CCE4AC1F12}" name="総数／事業所数" dataCellStyle="桁区切り"/>
    <tableColumn id="11" xr3:uid="{FE036C2A-F142-45F2-A6D0-67617B854AEF}" name="総数／構成比" dataDxfId="814"/>
    <tableColumn id="12" xr3:uid="{2FE3AD1D-5CB6-4BE5-87FF-3B8397586FF3}" name="個人／事業所数" dataCellStyle="桁区切り"/>
    <tableColumn id="13" xr3:uid="{2B71C585-2097-42EE-A1E3-CBDB79663831}" name="個人／構成比" dataDxfId="813"/>
    <tableColumn id="14" xr3:uid="{A82270D6-CBEB-45C8-B587-B1D4A84C10E9}" name="法人／事業所数" dataCellStyle="桁区切り"/>
    <tableColumn id="15" xr3:uid="{B83681E5-5254-436E-94F8-CAF4B7BCD112}" name="法人／構成比" dataDxfId="812"/>
    <tableColumn id="16" xr3:uid="{32B74FED-DB4C-406C-903A-531D172D0760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0729CBA-4B49-42E4-95DE-DDB8F5E3CA61}" name="LTBL_23100" displayName="LTBL_23100" ref="B4:I20" totalsRowCount="1">
  <autoFilter ref="B4:I19" xr:uid="{E0729CBA-4B49-42E4-95DE-DDB8F5E3CA61}"/>
  <tableColumns count="8">
    <tableColumn id="9" xr3:uid="{7C5CDB3D-FD47-40FA-B109-C516B144FDA2}" name="産業大分類" totalsRowLabel="合計" totalsRowDxfId="979"/>
    <tableColumn id="10" xr3:uid="{4D359AD3-C02C-4962-BD02-8D4D29841D55}" name="総数／事業所数" totalsRowFunction="custom" totalsRowDxfId="978" dataCellStyle="桁区切り" totalsRowCellStyle="桁区切り">
      <totalsRowFormula>SUM(LTBL_23100[総数／事業所数])</totalsRowFormula>
    </tableColumn>
    <tableColumn id="11" xr3:uid="{3618CB0C-DB3D-4C26-B50F-AE56F25604D5}" name="総数／構成比" dataDxfId="977"/>
    <tableColumn id="12" xr3:uid="{A2F309AB-8B9B-4186-9FA6-21846B9D76A2}" name="個人／事業所数" totalsRowFunction="sum" totalsRowDxfId="976" dataCellStyle="桁区切り" totalsRowCellStyle="桁区切り"/>
    <tableColumn id="13" xr3:uid="{58CE3BF9-04BD-4760-AB55-2FED9E730552}" name="個人／構成比" dataDxfId="975"/>
    <tableColumn id="14" xr3:uid="{F1A3B0C8-76A4-4796-8996-89F26A047602}" name="法人／事業所数" totalsRowFunction="sum" totalsRowDxfId="974" dataCellStyle="桁区切り" totalsRowCellStyle="桁区切り"/>
    <tableColumn id="15" xr3:uid="{7CB98973-33AB-4068-B82B-E270007D3215}" name="法人／構成比" dataDxfId="973"/>
    <tableColumn id="16" xr3:uid="{71AE7CDA-0CC6-4B96-B1D7-49A45F0FB29A}" name="法人以外の団体／事業所数" totalsRowFunction="sum" totalsRowDxfId="97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BCD6B11-E9C2-446E-8E71-04748FB87C75}" name="LTBL_23112" displayName="LTBL_23112" ref="B4:I20" totalsRowCount="1">
  <autoFilter ref="B4:I19" xr:uid="{3BCD6B11-E9C2-446E-8E71-04748FB87C75}"/>
  <tableColumns count="8">
    <tableColumn id="9" xr3:uid="{D312B8B6-BDCD-4166-A278-E71B6B99BFEA}" name="産業大分類" totalsRowLabel="合計" totalsRowDxfId="811"/>
    <tableColumn id="10" xr3:uid="{4A0498B2-174D-43A4-9D87-8CF620820286}" name="総数／事業所数" totalsRowFunction="custom" totalsRowDxfId="810" dataCellStyle="桁区切り" totalsRowCellStyle="桁区切り">
      <totalsRowFormula>SUM(LTBL_23112[総数／事業所数])</totalsRowFormula>
    </tableColumn>
    <tableColumn id="11" xr3:uid="{8C98AD65-09B6-4233-BE88-B6B78388A85E}" name="総数／構成比" dataDxfId="809"/>
    <tableColumn id="12" xr3:uid="{653E08E4-72B5-4537-960F-BB0900090813}" name="個人／事業所数" totalsRowFunction="sum" totalsRowDxfId="808" dataCellStyle="桁区切り" totalsRowCellStyle="桁区切り"/>
    <tableColumn id="13" xr3:uid="{66CF7393-682D-4F58-BD5D-F276FCB5429F}" name="個人／構成比" dataDxfId="807"/>
    <tableColumn id="14" xr3:uid="{2807BE02-68AE-4F23-A801-AA800F303384}" name="法人／事業所数" totalsRowFunction="sum" totalsRowDxfId="806" dataCellStyle="桁区切り" totalsRowCellStyle="桁区切り"/>
    <tableColumn id="15" xr3:uid="{DE6F9820-AC6C-45E7-A567-329C08A9CA89}" name="法人／構成比" dataDxfId="805"/>
    <tableColumn id="16" xr3:uid="{33FE0064-899E-4341-9E90-E21BCBE70B86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EA4074A-A935-4391-A38D-7108F11ABCFD}" name="M_TABLE_23112" displayName="M_TABLE_23112" ref="B23:I44" totalsRowShown="0">
  <autoFilter ref="B23:I44" xr:uid="{6EA4074A-A935-4391-A38D-7108F11ABCFD}"/>
  <tableColumns count="8">
    <tableColumn id="9" xr3:uid="{FA8485B3-8273-47ED-AB85-79AA3AB127F5}" name="産業中分類上位２０"/>
    <tableColumn id="10" xr3:uid="{8D5EA098-8B0E-484E-8125-A3737BF3721D}" name="総数／事業所数" dataCellStyle="桁区切り"/>
    <tableColumn id="11" xr3:uid="{B7385883-99EA-45CB-8D4E-3ACEAA58F1B9}" name="総数／構成比" dataDxfId="803"/>
    <tableColumn id="12" xr3:uid="{16976121-8DC7-4697-BCAF-42FC52220BE4}" name="個人／事業所数" dataCellStyle="桁区切り"/>
    <tableColumn id="13" xr3:uid="{1C2AFAB4-AF04-4162-B034-1B339DFEE3D5}" name="個人／構成比" dataDxfId="802"/>
    <tableColumn id="14" xr3:uid="{4D8E007C-F133-44AB-9A4D-CC48E28EB3A8}" name="法人／事業所数" dataCellStyle="桁区切り"/>
    <tableColumn id="15" xr3:uid="{844978BE-8852-4D1D-AB6A-966E9EAFA6F0}" name="法人／構成比" dataDxfId="801"/>
    <tableColumn id="16" xr3:uid="{85DFF16C-AEBD-4407-A8AF-3A0B5A669544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DBF03F8-4051-455F-9B04-ADD73A7ECE74}" name="S_TABLE_23112" displayName="S_TABLE_23112" ref="B47:I68" totalsRowShown="0">
  <autoFilter ref="B47:I68" xr:uid="{1DBF03F8-4051-455F-9B04-ADD73A7ECE74}"/>
  <tableColumns count="8">
    <tableColumn id="9" xr3:uid="{32CA4E0A-D2B0-4035-A5A5-CF9EDF110B00}" name="産業小分類上位２０"/>
    <tableColumn id="10" xr3:uid="{EA304D68-9E81-4AE1-94B3-0F3FC6D9EF09}" name="総数／事業所数" dataCellStyle="桁区切り"/>
    <tableColumn id="11" xr3:uid="{F8263588-C184-46D8-AC30-CB90D8BC7494}" name="総数／構成比" dataDxfId="800"/>
    <tableColumn id="12" xr3:uid="{E258BBC3-A09C-4068-AAF5-E9A4C6B5B071}" name="個人／事業所数" dataCellStyle="桁区切り"/>
    <tableColumn id="13" xr3:uid="{9B292B0A-32D5-46B2-8CB3-91949344884C}" name="個人／構成比" dataDxfId="799"/>
    <tableColumn id="14" xr3:uid="{C54B30A4-E52E-4E84-802E-F7B56141EEB0}" name="法人／事業所数" dataCellStyle="桁区切り"/>
    <tableColumn id="15" xr3:uid="{96C79886-78BD-4922-85AC-BD0555FD265C}" name="法人／構成比" dataDxfId="798"/>
    <tableColumn id="16" xr3:uid="{A7057800-ABBF-4D84-9DE3-609C7E9D43B2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2924E41-6BF9-42FA-BD90-DA2F4BBE2D79}" name="LTBL_23113" displayName="LTBL_23113" ref="B4:I20" totalsRowCount="1">
  <autoFilter ref="B4:I19" xr:uid="{52924E41-6BF9-42FA-BD90-DA2F4BBE2D79}"/>
  <tableColumns count="8">
    <tableColumn id="9" xr3:uid="{8AF6D9C9-EAD2-463C-9059-1A187C056486}" name="産業大分類" totalsRowLabel="合計" totalsRowDxfId="797"/>
    <tableColumn id="10" xr3:uid="{B40E8B68-7426-4E58-9E63-76B5AF5B3A21}" name="総数／事業所数" totalsRowFunction="custom" totalsRowDxfId="796" dataCellStyle="桁区切り" totalsRowCellStyle="桁区切り">
      <totalsRowFormula>SUM(LTBL_23113[総数／事業所数])</totalsRowFormula>
    </tableColumn>
    <tableColumn id="11" xr3:uid="{53731C40-2B71-4EB5-BD1C-3672315385C5}" name="総数／構成比" dataDxfId="795"/>
    <tableColumn id="12" xr3:uid="{A3A73348-E263-41FC-8F7B-A274811498CD}" name="個人／事業所数" totalsRowFunction="sum" totalsRowDxfId="794" dataCellStyle="桁区切り" totalsRowCellStyle="桁区切り"/>
    <tableColumn id="13" xr3:uid="{8EE1F17E-4239-4862-9682-4BA7959C6841}" name="個人／構成比" dataDxfId="793"/>
    <tableColumn id="14" xr3:uid="{84001F79-7116-40AB-91D5-B5889835B0CD}" name="法人／事業所数" totalsRowFunction="sum" totalsRowDxfId="792" dataCellStyle="桁区切り" totalsRowCellStyle="桁区切り"/>
    <tableColumn id="15" xr3:uid="{C674758C-147F-42CC-B669-60FA401A42A6}" name="法人／構成比" dataDxfId="791"/>
    <tableColumn id="16" xr3:uid="{37D7DE27-7BFC-408E-8AA5-7902DD646DE9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32C86C6-85D5-439D-BD59-0329B67661B0}" name="M_TABLE_23113" displayName="M_TABLE_23113" ref="B23:I43" totalsRowShown="0">
  <autoFilter ref="B23:I43" xr:uid="{A32C86C6-85D5-439D-BD59-0329B67661B0}"/>
  <tableColumns count="8">
    <tableColumn id="9" xr3:uid="{BD60B11D-32E5-4C9C-B91F-997C6F9185E3}" name="産業中分類上位２０"/>
    <tableColumn id="10" xr3:uid="{CEF6C3BA-22DE-473B-BA13-633F5B29E3F3}" name="総数／事業所数" dataCellStyle="桁区切り"/>
    <tableColumn id="11" xr3:uid="{BF0FC34D-99A7-4741-B23A-25A81E0F48A3}" name="総数／構成比" dataDxfId="789"/>
    <tableColumn id="12" xr3:uid="{D13F1C96-2B6F-4528-9643-7E72DEA8F14B}" name="個人／事業所数" dataCellStyle="桁区切り"/>
    <tableColumn id="13" xr3:uid="{322CD20F-6515-4DAE-B43B-785A97E78116}" name="個人／構成比" dataDxfId="788"/>
    <tableColumn id="14" xr3:uid="{0E13F38C-F45C-4202-9B28-C3F42CBA6134}" name="法人／事業所数" dataCellStyle="桁区切り"/>
    <tableColumn id="15" xr3:uid="{CB582F53-B574-423C-9140-9A8C978D82CE}" name="法人／構成比" dataDxfId="787"/>
    <tableColumn id="16" xr3:uid="{828B43FA-A539-4854-9692-4ABD60314189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EF092C3-A565-450E-92BE-716255C2BEF2}" name="S_TABLE_23113" displayName="S_TABLE_23113" ref="B46:I69" totalsRowShown="0">
  <autoFilter ref="B46:I69" xr:uid="{BEF092C3-A565-450E-92BE-716255C2BEF2}"/>
  <tableColumns count="8">
    <tableColumn id="9" xr3:uid="{00EA4723-E8EF-4DA3-84A6-6CDA92183BB1}" name="産業小分類上位２０"/>
    <tableColumn id="10" xr3:uid="{F6B3BC2F-B302-4A6D-AEAA-FFA6DBE9BAA7}" name="総数／事業所数" dataCellStyle="桁区切り"/>
    <tableColumn id="11" xr3:uid="{ED1301A9-75F0-482C-A195-54B127A26D20}" name="総数／構成比" dataDxfId="786"/>
    <tableColumn id="12" xr3:uid="{7E39BE63-BC51-46B1-9C34-CFCAB1155163}" name="個人／事業所数" dataCellStyle="桁区切り"/>
    <tableColumn id="13" xr3:uid="{C0587E39-C0DB-4DDE-AC88-DD819BA68CDA}" name="個人／構成比" dataDxfId="785"/>
    <tableColumn id="14" xr3:uid="{7F5833E3-B849-48F0-82D1-6F3282BC26C9}" name="法人／事業所数" dataCellStyle="桁区切り"/>
    <tableColumn id="15" xr3:uid="{7EAEF44A-176A-4D61-A325-DCFF100B8CF3}" name="法人／構成比" dataDxfId="784"/>
    <tableColumn id="16" xr3:uid="{3A2EC285-70D9-45E3-B370-653594D9A899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4C0F700-FBC8-4A36-B0DB-AC18245CC2BA}" name="LTBL_23114" displayName="LTBL_23114" ref="B4:I20" totalsRowCount="1">
  <autoFilter ref="B4:I19" xr:uid="{A4C0F700-FBC8-4A36-B0DB-AC18245CC2BA}"/>
  <tableColumns count="8">
    <tableColumn id="9" xr3:uid="{23279003-0C4E-468F-B557-CC7E6D3FDB03}" name="産業大分類" totalsRowLabel="合計" totalsRowDxfId="783"/>
    <tableColumn id="10" xr3:uid="{BB0EAFC1-1DBD-488B-B864-1FF2BCE593AB}" name="総数／事業所数" totalsRowFunction="custom" totalsRowDxfId="782" dataCellStyle="桁区切り" totalsRowCellStyle="桁区切り">
      <totalsRowFormula>SUM(LTBL_23114[総数／事業所数])</totalsRowFormula>
    </tableColumn>
    <tableColumn id="11" xr3:uid="{A973AF65-57E6-4576-B9D7-99F450A4074B}" name="総数／構成比" dataDxfId="781"/>
    <tableColumn id="12" xr3:uid="{645B8EC6-F4EE-4BF8-A0B2-1B969FA994BD}" name="個人／事業所数" totalsRowFunction="sum" totalsRowDxfId="780" dataCellStyle="桁区切り" totalsRowCellStyle="桁区切り"/>
    <tableColumn id="13" xr3:uid="{9F114E2A-A4B4-4F61-937C-212432E1657C}" name="個人／構成比" dataDxfId="779"/>
    <tableColumn id="14" xr3:uid="{C4B205E7-7777-4C44-97E5-3F5CAB2F2E2E}" name="法人／事業所数" totalsRowFunction="sum" totalsRowDxfId="778" dataCellStyle="桁区切り" totalsRowCellStyle="桁区切り"/>
    <tableColumn id="15" xr3:uid="{5AE6B38F-3522-4344-A49E-A647BF93A985}" name="法人／構成比" dataDxfId="777"/>
    <tableColumn id="16" xr3:uid="{26F1D207-6BCA-4787-BD3F-AA37980A1560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4B1FF0D-5AB0-4C22-9B9B-1B774AA02A8B}" name="M_TABLE_23114" displayName="M_TABLE_23114" ref="B23:I43" totalsRowShown="0">
  <autoFilter ref="B23:I43" xr:uid="{64B1FF0D-5AB0-4C22-9B9B-1B774AA02A8B}"/>
  <tableColumns count="8">
    <tableColumn id="9" xr3:uid="{B58C16BD-811D-4E5D-BA31-AF91BA1A35AC}" name="産業中分類上位２０"/>
    <tableColumn id="10" xr3:uid="{7EFEE78E-CC87-417E-8487-C5A284A2EF3B}" name="総数／事業所数" dataCellStyle="桁区切り"/>
    <tableColumn id="11" xr3:uid="{8DC198C8-190C-4234-BD65-C27DDEEC1B5F}" name="総数／構成比" dataDxfId="775"/>
    <tableColumn id="12" xr3:uid="{F050FC68-2D4F-4642-BA39-2185B45748F8}" name="個人／事業所数" dataCellStyle="桁区切り"/>
    <tableColumn id="13" xr3:uid="{F895BFA5-9DDC-4E9A-B72F-2127BA381E8D}" name="個人／構成比" dataDxfId="774"/>
    <tableColumn id="14" xr3:uid="{21F8E3E6-8432-47ED-8BF4-62F3A2BE6FB3}" name="法人／事業所数" dataCellStyle="桁区切り"/>
    <tableColumn id="15" xr3:uid="{229DF420-6B70-4292-AE17-01F732CC7628}" name="法人／構成比" dataDxfId="773"/>
    <tableColumn id="16" xr3:uid="{76D75D59-739B-4424-96B7-CDB1DE5132B3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69E4D72-818A-4BE7-BC1B-BE160A154547}" name="S_TABLE_23114" displayName="S_TABLE_23114" ref="B46:I66" totalsRowShown="0">
  <autoFilter ref="B46:I66" xr:uid="{269E4D72-818A-4BE7-BC1B-BE160A154547}"/>
  <tableColumns count="8">
    <tableColumn id="9" xr3:uid="{F9030D17-C18A-410E-9DE5-E4D1D0A05DBD}" name="産業小分類上位２０"/>
    <tableColumn id="10" xr3:uid="{B2F3EAA0-ED36-4F3B-B54F-7253A28FCE79}" name="総数／事業所数" dataCellStyle="桁区切り"/>
    <tableColumn id="11" xr3:uid="{CB8E1F21-B8AD-44B9-89C9-EDF14B6C9DFB}" name="総数／構成比" dataDxfId="772"/>
    <tableColumn id="12" xr3:uid="{1189DD52-4AA6-4906-85A0-B0C96182D3A9}" name="個人／事業所数" dataCellStyle="桁区切り"/>
    <tableColumn id="13" xr3:uid="{26A4C2C9-A467-42B3-9CB3-ECF8CFE52B8A}" name="個人／構成比" dataDxfId="771"/>
    <tableColumn id="14" xr3:uid="{C30051B7-166B-43CC-AEE7-3886D50C43C7}" name="法人／事業所数" dataCellStyle="桁区切り"/>
    <tableColumn id="15" xr3:uid="{993CB45A-549B-4413-922E-898810A90146}" name="法人／構成比" dataDxfId="770"/>
    <tableColumn id="16" xr3:uid="{C3FB52A6-42DC-40AB-A425-7046A7C67BCB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33E2026-542A-449C-9510-C462E27D9871}" name="LTBL_23115" displayName="LTBL_23115" ref="B4:I20" totalsRowCount="1">
  <autoFilter ref="B4:I19" xr:uid="{E33E2026-542A-449C-9510-C462E27D9871}"/>
  <tableColumns count="8">
    <tableColumn id="9" xr3:uid="{DC92E53C-0284-4ED5-AA0A-AFD80B4C4590}" name="産業大分類" totalsRowLabel="合計" totalsRowDxfId="769"/>
    <tableColumn id="10" xr3:uid="{7BC0A4BB-6323-4C95-B33A-42A24F8A36F5}" name="総数／事業所数" totalsRowFunction="custom" totalsRowDxfId="768" dataCellStyle="桁区切り" totalsRowCellStyle="桁区切り">
      <totalsRowFormula>SUM(LTBL_23115[総数／事業所数])</totalsRowFormula>
    </tableColumn>
    <tableColumn id="11" xr3:uid="{4989CB14-B3CE-493C-8815-82E15B7B8653}" name="総数／構成比" dataDxfId="767"/>
    <tableColumn id="12" xr3:uid="{6EE145BD-39B5-4578-9B5A-ABCEE8AA004C}" name="個人／事業所数" totalsRowFunction="sum" totalsRowDxfId="766" dataCellStyle="桁区切り" totalsRowCellStyle="桁区切り"/>
    <tableColumn id="13" xr3:uid="{41987FCF-E432-420F-B565-37D8D92FF793}" name="個人／構成比" dataDxfId="765"/>
    <tableColumn id="14" xr3:uid="{86F57AAE-527C-4930-84C8-B1D865A44AB9}" name="法人／事業所数" totalsRowFunction="sum" totalsRowDxfId="764" dataCellStyle="桁区切り" totalsRowCellStyle="桁区切り"/>
    <tableColumn id="15" xr3:uid="{F5B7F402-943E-4995-BCB0-BB98D810B8EE}" name="法人／構成比" dataDxfId="763"/>
    <tableColumn id="16" xr3:uid="{3B8A5F4C-A072-411A-B0EE-F310920E8099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C9C545-06C5-4A77-ADD1-CF38514E1DE4}" name="M_TABLE_23100" displayName="M_TABLE_23100" ref="B23:I43" totalsRowShown="0">
  <autoFilter ref="B23:I43" xr:uid="{84C9C545-06C5-4A77-ADD1-CF38514E1DE4}"/>
  <tableColumns count="8">
    <tableColumn id="9" xr3:uid="{9CBB379B-4F80-465F-8198-CFA6BA5FE449}" name="産業中分類上位２０"/>
    <tableColumn id="10" xr3:uid="{C1D5F7B1-7C0B-4226-B12B-872B23F294D2}" name="総数／事業所数" dataCellStyle="桁区切り"/>
    <tableColumn id="11" xr3:uid="{F0841AA8-9CF6-4E35-BC66-95CAF6840AEB}" name="総数／構成比" dataDxfId="971"/>
    <tableColumn id="12" xr3:uid="{A879714D-81D6-4EA4-A7C8-586A67A7B27E}" name="個人／事業所数" dataCellStyle="桁区切り"/>
    <tableColumn id="13" xr3:uid="{7D1AD30F-CA1F-48EE-AB2C-23CA85D07E92}" name="個人／構成比" dataDxfId="970"/>
    <tableColumn id="14" xr3:uid="{5C821F74-3F62-41B5-9F3D-531B38299A1F}" name="法人／事業所数" dataCellStyle="桁区切り"/>
    <tableColumn id="15" xr3:uid="{2377273C-E1FF-4352-98DC-320CEFAAAEEB}" name="法人／構成比" dataDxfId="969"/>
    <tableColumn id="16" xr3:uid="{2F849596-8F37-495D-96D1-4B611FC6C819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556CD91-5B1F-4D65-80FD-9CFD041997E5}" name="M_TABLE_23115" displayName="M_TABLE_23115" ref="B23:I43" totalsRowShown="0">
  <autoFilter ref="B23:I43" xr:uid="{F556CD91-5B1F-4D65-80FD-9CFD041997E5}"/>
  <tableColumns count="8">
    <tableColumn id="9" xr3:uid="{F5A20ACE-46B9-4C11-82FD-DC1F642A7EB3}" name="産業中分類上位２０"/>
    <tableColumn id="10" xr3:uid="{BC899642-2D9F-4138-91EB-EDC9E6E3C8C9}" name="総数／事業所数" dataCellStyle="桁区切り"/>
    <tableColumn id="11" xr3:uid="{9F4CF410-4A44-48BD-9BC3-FD0E856AE772}" name="総数／構成比" dataDxfId="761"/>
    <tableColumn id="12" xr3:uid="{C9664E3E-F9B8-43B2-BFEC-57311BFB9F30}" name="個人／事業所数" dataCellStyle="桁区切り"/>
    <tableColumn id="13" xr3:uid="{ECDD5019-60C2-46E5-BDF6-8D12EC745A23}" name="個人／構成比" dataDxfId="760"/>
    <tableColumn id="14" xr3:uid="{4F0E7554-CD5F-42A5-AC61-7F56D51A0B32}" name="法人／事業所数" dataCellStyle="桁区切り"/>
    <tableColumn id="15" xr3:uid="{A1F5BD39-2E8F-4C69-8493-C7F1712DEBBD}" name="法人／構成比" dataDxfId="759"/>
    <tableColumn id="16" xr3:uid="{B12E91EA-93DC-4ED2-BA13-FCBCFEE2C3F7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8874B75-8370-4EF9-9429-759EBB07F10A}" name="S_TABLE_23115" displayName="S_TABLE_23115" ref="B46:I66" totalsRowShown="0">
  <autoFilter ref="B46:I66" xr:uid="{78874B75-8370-4EF9-9429-759EBB07F10A}"/>
  <tableColumns count="8">
    <tableColumn id="9" xr3:uid="{7EBB4A29-8D39-4AEC-A28B-B042539A80F4}" name="産業小分類上位２０"/>
    <tableColumn id="10" xr3:uid="{D70CC76C-E7CB-43D7-AEF8-77E0B0B1015B}" name="総数／事業所数" dataCellStyle="桁区切り"/>
    <tableColumn id="11" xr3:uid="{9E0CE9F1-E83D-426B-95DD-78DB41C19937}" name="総数／構成比" dataDxfId="758"/>
    <tableColumn id="12" xr3:uid="{8D5396BE-A6FA-4627-ADEF-7745D8BAE5AA}" name="個人／事業所数" dataCellStyle="桁区切り"/>
    <tableColumn id="13" xr3:uid="{70DB75BA-ABD3-4969-89D8-F1FF8AC35182}" name="個人／構成比" dataDxfId="757"/>
    <tableColumn id="14" xr3:uid="{4306F6DE-FCF5-4CF6-924C-2C7B3E6F2DCC}" name="法人／事業所数" dataCellStyle="桁区切り"/>
    <tableColumn id="15" xr3:uid="{632BE259-1FB2-41ED-BB1B-6F2D87FF5D05}" name="法人／構成比" dataDxfId="756"/>
    <tableColumn id="16" xr3:uid="{18573406-CDC8-44BC-8B2C-50FCB4C9E666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8B96F3E-79A6-4481-A39E-4293C11CF9A7}" name="LTBL_23116" displayName="LTBL_23116" ref="B4:I20" totalsRowCount="1">
  <autoFilter ref="B4:I19" xr:uid="{C8B96F3E-79A6-4481-A39E-4293C11CF9A7}"/>
  <tableColumns count="8">
    <tableColumn id="9" xr3:uid="{7715FD73-D7C3-4A68-92B5-46A972B74790}" name="産業大分類" totalsRowLabel="合計" totalsRowDxfId="755"/>
    <tableColumn id="10" xr3:uid="{6BC2799F-CE27-42DD-B1B3-92A7BC2C07CD}" name="総数／事業所数" totalsRowFunction="custom" totalsRowDxfId="754" dataCellStyle="桁区切り" totalsRowCellStyle="桁区切り">
      <totalsRowFormula>SUM(LTBL_23116[総数／事業所数])</totalsRowFormula>
    </tableColumn>
    <tableColumn id="11" xr3:uid="{9CCBD896-D2C7-4DD8-B915-3A0D2B98805C}" name="総数／構成比" dataDxfId="753"/>
    <tableColumn id="12" xr3:uid="{136EAFBD-0B63-4CDC-B50C-B5688B4BF985}" name="個人／事業所数" totalsRowFunction="sum" totalsRowDxfId="752" dataCellStyle="桁区切り" totalsRowCellStyle="桁区切り"/>
    <tableColumn id="13" xr3:uid="{6E44E67D-D758-49C2-BB06-4D1D82FCACB6}" name="個人／構成比" dataDxfId="751"/>
    <tableColumn id="14" xr3:uid="{A826DC57-64C3-4E07-8205-40EE1AB7C60E}" name="法人／事業所数" totalsRowFunction="sum" totalsRowDxfId="750" dataCellStyle="桁区切り" totalsRowCellStyle="桁区切り"/>
    <tableColumn id="15" xr3:uid="{DDE6F47E-F351-4740-B3D1-F75F9D070265}" name="法人／構成比" dataDxfId="749"/>
    <tableColumn id="16" xr3:uid="{FFCDEC9D-8B58-429C-9A6E-10F1261A16CE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ABA4EC17-FC67-4B89-AE73-F32E3167AA5C}" name="M_TABLE_23116" displayName="M_TABLE_23116" ref="B23:I43" totalsRowShown="0">
  <autoFilter ref="B23:I43" xr:uid="{ABA4EC17-FC67-4B89-AE73-F32E3167AA5C}"/>
  <tableColumns count="8">
    <tableColumn id="9" xr3:uid="{FDC6A3D9-DB92-46F8-8FB9-7BB91E576062}" name="産業中分類上位２０"/>
    <tableColumn id="10" xr3:uid="{504A6A0B-E2D4-45D7-876F-2C4A0529ADDF}" name="総数／事業所数" dataCellStyle="桁区切り"/>
    <tableColumn id="11" xr3:uid="{077A3AC2-2340-4FA7-BE39-CA717491E8CA}" name="総数／構成比" dataDxfId="747"/>
    <tableColumn id="12" xr3:uid="{72791DBB-5DCE-4949-9897-3F76EDC96B2E}" name="個人／事業所数" dataCellStyle="桁区切り"/>
    <tableColumn id="13" xr3:uid="{4FCB6845-12D5-4CF7-9980-FC5E1A2DBFEC}" name="個人／構成比" dataDxfId="746"/>
    <tableColumn id="14" xr3:uid="{A432CB59-77E4-4496-86CC-9279A191BBD4}" name="法人／事業所数" dataCellStyle="桁区切り"/>
    <tableColumn id="15" xr3:uid="{F4B020C5-B57C-4FB1-932C-EBF67BA996E4}" name="法人／構成比" dataDxfId="745"/>
    <tableColumn id="16" xr3:uid="{6EB8E709-484C-4736-9FD2-10D1EF615B66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5E1323B-CE21-49C0-BBED-957B50339DBA}" name="S_TABLE_23116" displayName="S_TABLE_23116" ref="B46:I66" totalsRowShown="0">
  <autoFilter ref="B46:I66" xr:uid="{35E1323B-CE21-49C0-BBED-957B50339DBA}"/>
  <tableColumns count="8">
    <tableColumn id="9" xr3:uid="{554655D6-CC1F-4007-A10B-20006504F9C7}" name="産業小分類上位２０"/>
    <tableColumn id="10" xr3:uid="{F8B44F3B-9126-4C38-B3DA-2FD42FA96703}" name="総数／事業所数" dataCellStyle="桁区切り"/>
    <tableColumn id="11" xr3:uid="{B817C24B-B249-4310-B3B1-2DAAAB5555C3}" name="総数／構成比" dataDxfId="744"/>
    <tableColumn id="12" xr3:uid="{FDD11B76-D76F-45A7-9109-7ADFAE72F97C}" name="個人／事業所数" dataCellStyle="桁区切り"/>
    <tableColumn id="13" xr3:uid="{FB93FDE1-F2F5-4DE4-BB29-6FCC538A7C34}" name="個人／構成比" dataDxfId="743"/>
    <tableColumn id="14" xr3:uid="{29424D46-E1ED-4A64-93DB-86B48FF44375}" name="法人／事業所数" dataCellStyle="桁区切り"/>
    <tableColumn id="15" xr3:uid="{BBE5609B-2EC6-48F4-B73D-1C2DF5BF316E}" name="法人／構成比" dataDxfId="742"/>
    <tableColumn id="16" xr3:uid="{CE185EF6-B4F7-4BFD-96E0-7F7322AC0A5F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4D142AE-A9DE-4EB1-BDEE-B47EFDFBE2B1}" name="LTBL_23201" displayName="LTBL_23201" ref="B4:I20" totalsRowCount="1">
  <autoFilter ref="B4:I19" xr:uid="{74D142AE-A9DE-4EB1-BDEE-B47EFDFBE2B1}"/>
  <tableColumns count="8">
    <tableColumn id="9" xr3:uid="{3C632BCC-F935-48F5-A00F-F11B567A1B4C}" name="産業大分類" totalsRowLabel="合計" totalsRowDxfId="741"/>
    <tableColumn id="10" xr3:uid="{EC395718-B4B9-41D9-9FF5-AB772E16C566}" name="総数／事業所数" totalsRowFunction="custom" totalsRowDxfId="740" dataCellStyle="桁区切り" totalsRowCellStyle="桁区切り">
      <totalsRowFormula>SUM(LTBL_23201[総数／事業所数])</totalsRowFormula>
    </tableColumn>
    <tableColumn id="11" xr3:uid="{170440B6-12E2-483B-A327-4BF6CA0ED43C}" name="総数／構成比" dataDxfId="739"/>
    <tableColumn id="12" xr3:uid="{8A128C1B-0B01-40AB-AF23-18B47CBBB45A}" name="個人／事業所数" totalsRowFunction="sum" totalsRowDxfId="738" dataCellStyle="桁区切り" totalsRowCellStyle="桁区切り"/>
    <tableColumn id="13" xr3:uid="{24F7A751-1A55-4A80-AD3B-89971B5B5A70}" name="個人／構成比" dataDxfId="737"/>
    <tableColumn id="14" xr3:uid="{947C85D0-E4CB-4A7E-8BF0-B0CD69516FED}" name="法人／事業所数" totalsRowFunction="sum" totalsRowDxfId="736" dataCellStyle="桁区切り" totalsRowCellStyle="桁区切り"/>
    <tableColumn id="15" xr3:uid="{2E5FDE20-1827-4D02-AFBE-6677F5267439}" name="法人／構成比" dataDxfId="735"/>
    <tableColumn id="16" xr3:uid="{FF4D57FB-2DDF-499A-9107-CE6BCF73042F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3AAA235-5897-4126-BED7-A04DF4597722}" name="M_TABLE_23201" displayName="M_TABLE_23201" ref="B23:I43" totalsRowShown="0">
  <autoFilter ref="B23:I43" xr:uid="{C3AAA235-5897-4126-BED7-A04DF4597722}"/>
  <tableColumns count="8">
    <tableColumn id="9" xr3:uid="{33FF930C-1691-42A2-8A7E-8790DCD77B7D}" name="産業中分類上位２０"/>
    <tableColumn id="10" xr3:uid="{F073C0EB-363F-4E01-B221-32AF6DDFFB42}" name="総数／事業所数" dataCellStyle="桁区切り"/>
    <tableColumn id="11" xr3:uid="{FB195BDB-4824-4002-9303-F3ADE0DDD26D}" name="総数／構成比" dataDxfId="733"/>
    <tableColumn id="12" xr3:uid="{ED0C0C39-1C21-495D-A760-B902C49F9A8C}" name="個人／事業所数" dataCellStyle="桁区切り"/>
    <tableColumn id="13" xr3:uid="{26DE1D11-9A7C-4D31-9A0B-04E4BF0813D6}" name="個人／構成比" dataDxfId="732"/>
    <tableColumn id="14" xr3:uid="{78964F36-9B19-4480-9981-858375ABE9AA}" name="法人／事業所数" dataCellStyle="桁区切り"/>
    <tableColumn id="15" xr3:uid="{BBD96CD0-A728-499B-86E4-876B861A4FE1}" name="法人／構成比" dataDxfId="731"/>
    <tableColumn id="16" xr3:uid="{6FEB780A-A6FE-4D34-97AF-76FE48F32921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B13EAB3-B278-422E-8883-FFBE6C305BCA}" name="S_TABLE_23201" displayName="S_TABLE_23201" ref="B46:I66" totalsRowShown="0">
  <autoFilter ref="B46:I66" xr:uid="{1B13EAB3-B278-422E-8883-FFBE6C305BCA}"/>
  <tableColumns count="8">
    <tableColumn id="9" xr3:uid="{3B8E8D94-0F11-41CE-8B53-E19F9D36A1EA}" name="産業小分類上位２０"/>
    <tableColumn id="10" xr3:uid="{E2A02491-9213-4F67-9F7D-205C568E7971}" name="総数／事業所数" dataCellStyle="桁区切り"/>
    <tableColumn id="11" xr3:uid="{6CEB13B4-D300-4EC8-8910-DE609A8EDEFF}" name="総数／構成比" dataDxfId="730"/>
    <tableColumn id="12" xr3:uid="{84B68783-9245-48DB-ACE7-B2390EF89D10}" name="個人／事業所数" dataCellStyle="桁区切り"/>
    <tableColumn id="13" xr3:uid="{1E157833-CE4A-46ED-956F-60E431075FFE}" name="個人／構成比" dataDxfId="729"/>
    <tableColumn id="14" xr3:uid="{110C50DA-AE88-48BC-9CC6-7344368E8446}" name="法人／事業所数" dataCellStyle="桁区切り"/>
    <tableColumn id="15" xr3:uid="{FF10AA73-B4F5-4206-9267-9E531452B92D}" name="法人／構成比" dataDxfId="728"/>
    <tableColumn id="16" xr3:uid="{A8D6B9A9-625D-4468-A883-CFB708D3B879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CC2BFD8-35A8-428A-BD2F-E043595D5DC3}" name="LTBL_23202" displayName="LTBL_23202" ref="B4:I20" totalsRowCount="1">
  <autoFilter ref="B4:I19" xr:uid="{8CC2BFD8-35A8-428A-BD2F-E043595D5DC3}"/>
  <tableColumns count="8">
    <tableColumn id="9" xr3:uid="{6E980FB7-508F-43A2-8EF8-A538318AD557}" name="産業大分類" totalsRowLabel="合計" totalsRowDxfId="727"/>
    <tableColumn id="10" xr3:uid="{574FFAAC-6FD3-49B2-A6B8-9CAA075A09AE}" name="総数／事業所数" totalsRowFunction="custom" totalsRowDxfId="726" dataCellStyle="桁区切り" totalsRowCellStyle="桁区切り">
      <totalsRowFormula>SUM(LTBL_23202[総数／事業所数])</totalsRowFormula>
    </tableColumn>
    <tableColumn id="11" xr3:uid="{9B666F15-E7D9-43A1-8DA1-B787BF93A7A0}" name="総数／構成比" dataDxfId="725"/>
    <tableColumn id="12" xr3:uid="{CADC03AE-BD6F-4C97-8A4F-C28F90B58269}" name="個人／事業所数" totalsRowFunction="sum" totalsRowDxfId="724" dataCellStyle="桁区切り" totalsRowCellStyle="桁区切り"/>
    <tableColumn id="13" xr3:uid="{2ACB7DCD-58DF-4F22-8B7B-F49911D0640B}" name="個人／構成比" dataDxfId="723"/>
    <tableColumn id="14" xr3:uid="{665B924E-CBB1-41F4-A14E-48924C2E64DC}" name="法人／事業所数" totalsRowFunction="sum" totalsRowDxfId="722" dataCellStyle="桁区切り" totalsRowCellStyle="桁区切り"/>
    <tableColumn id="15" xr3:uid="{D930039C-53C7-4C13-8B3C-FBC6739F510F}" name="法人／構成比" dataDxfId="721"/>
    <tableColumn id="16" xr3:uid="{02F0632F-E8B6-4AC9-A6E5-79A05EF9912A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713BFA8-9F13-4FC0-9234-737F21A3D822}" name="M_TABLE_23202" displayName="M_TABLE_23202" ref="B23:I43" totalsRowShown="0">
  <autoFilter ref="B23:I43" xr:uid="{4713BFA8-9F13-4FC0-9234-737F21A3D822}"/>
  <tableColumns count="8">
    <tableColumn id="9" xr3:uid="{F3757DB9-64D7-4F80-9EDB-9D4283C81502}" name="産業中分類上位２０"/>
    <tableColumn id="10" xr3:uid="{CAF93D35-3D04-41B0-B0AF-D10984778805}" name="総数／事業所数" dataCellStyle="桁区切り"/>
    <tableColumn id="11" xr3:uid="{9CA4E169-FCCB-41A5-A8D0-98427366A8F3}" name="総数／構成比" dataDxfId="719"/>
    <tableColumn id="12" xr3:uid="{D5B877B5-C5ED-4340-A21E-828CDC2FCA1D}" name="個人／事業所数" dataCellStyle="桁区切り"/>
    <tableColumn id="13" xr3:uid="{7DC72608-9C33-452C-B359-B06FF710F649}" name="個人／構成比" dataDxfId="718"/>
    <tableColumn id="14" xr3:uid="{7CF92647-A56A-4C64-A56D-FFA77174EF81}" name="法人／事業所数" dataCellStyle="桁区切り"/>
    <tableColumn id="15" xr3:uid="{59993E74-E561-4E72-A3F5-DEB08A64237A}" name="法人／構成比" dataDxfId="717"/>
    <tableColumn id="16" xr3:uid="{01FE8331-24CB-4167-9DA7-3D18825E2E80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53CEAE-9E3C-4CA8-9A94-1C44F14065D2}" name="S_TABLE_23100" displayName="S_TABLE_23100" ref="B46:I66" totalsRowShown="0">
  <autoFilter ref="B46:I66" xr:uid="{A953CEAE-9E3C-4CA8-9A94-1C44F14065D2}"/>
  <tableColumns count="8">
    <tableColumn id="9" xr3:uid="{201DE46E-2B0B-4FF5-9F6B-B3940E746B70}" name="産業小分類上位２０"/>
    <tableColumn id="10" xr3:uid="{2C18D6FB-96D1-4CB5-BADD-C1D1CD529945}" name="総数／事業所数" dataCellStyle="桁区切り"/>
    <tableColumn id="11" xr3:uid="{E5343C2D-92E3-4F65-96B2-22AC27A38B55}" name="総数／構成比" dataDxfId="968"/>
    <tableColumn id="12" xr3:uid="{365BA22E-C2BD-4881-92B9-8FE8E23E8FA5}" name="個人／事業所数" dataCellStyle="桁区切り"/>
    <tableColumn id="13" xr3:uid="{53E6FD2C-9586-4335-BD5D-62E12D3F3BFE}" name="個人／構成比" dataDxfId="967"/>
    <tableColumn id="14" xr3:uid="{440713DF-01AE-41CF-82C8-42765F4DCEF7}" name="法人／事業所数" dataCellStyle="桁区切り"/>
    <tableColumn id="15" xr3:uid="{44662A74-BE5B-4DFC-B3AD-181B98001EFE}" name="法人／構成比" dataDxfId="966"/>
    <tableColumn id="16" xr3:uid="{87959376-48D0-4751-954D-8D47CE3F86D2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8859CE27-E0F8-4EC3-884F-FD0CBDAE3330}" name="S_TABLE_23202" displayName="S_TABLE_23202" ref="B46:I66" totalsRowShown="0">
  <autoFilter ref="B46:I66" xr:uid="{8859CE27-E0F8-4EC3-884F-FD0CBDAE3330}"/>
  <tableColumns count="8">
    <tableColumn id="9" xr3:uid="{70C32B3C-8D65-46BD-9461-D68D6B70274C}" name="産業小分類上位２０"/>
    <tableColumn id="10" xr3:uid="{C8026E82-3A86-4C7B-A929-C77EF7F01560}" name="総数／事業所数" dataCellStyle="桁区切り"/>
    <tableColumn id="11" xr3:uid="{AC563084-88DE-409E-A996-747BDB642495}" name="総数／構成比" dataDxfId="716"/>
    <tableColumn id="12" xr3:uid="{910292FC-0ED5-4666-BD86-F0ED066707E8}" name="個人／事業所数" dataCellStyle="桁区切り"/>
    <tableColumn id="13" xr3:uid="{CFC4A34C-6814-4C2E-9CD1-49F210B5A8E4}" name="個人／構成比" dataDxfId="715"/>
    <tableColumn id="14" xr3:uid="{35FABE0D-A44B-4DB8-A8FA-99043555EA73}" name="法人／事業所数" dataCellStyle="桁区切り"/>
    <tableColumn id="15" xr3:uid="{601133F5-B6EB-4F5B-BF69-B0C15B74F9A7}" name="法人／構成比" dataDxfId="714"/>
    <tableColumn id="16" xr3:uid="{5D866B35-0ADC-45E0-8155-9286B37DC1CE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900D60F-7D00-47F1-A790-93FD80647132}" name="LTBL_23203" displayName="LTBL_23203" ref="B4:I20" totalsRowCount="1">
  <autoFilter ref="B4:I19" xr:uid="{4900D60F-7D00-47F1-A790-93FD80647132}"/>
  <tableColumns count="8">
    <tableColumn id="9" xr3:uid="{D662FF15-7C32-40BB-9058-E7EE0287543F}" name="産業大分類" totalsRowLabel="合計" totalsRowDxfId="713"/>
    <tableColumn id="10" xr3:uid="{52D1BB86-A0FF-43EC-96A1-A636D0508086}" name="総数／事業所数" totalsRowFunction="custom" totalsRowDxfId="712" dataCellStyle="桁区切り" totalsRowCellStyle="桁区切り">
      <totalsRowFormula>SUM(LTBL_23203[総数／事業所数])</totalsRowFormula>
    </tableColumn>
    <tableColumn id="11" xr3:uid="{C6BAD0D0-75D9-494A-89C1-0AA2E15EECCF}" name="総数／構成比" dataDxfId="711"/>
    <tableColumn id="12" xr3:uid="{237AD4C4-5D30-4F7A-A323-FCAB67002CA7}" name="個人／事業所数" totalsRowFunction="sum" totalsRowDxfId="710" dataCellStyle="桁区切り" totalsRowCellStyle="桁区切り"/>
    <tableColumn id="13" xr3:uid="{F903ABFA-87BE-4D52-99D8-5CF6158E0723}" name="個人／構成比" dataDxfId="709"/>
    <tableColumn id="14" xr3:uid="{E4B24A12-7F1D-4CC9-976D-B965E1DEC097}" name="法人／事業所数" totalsRowFunction="sum" totalsRowDxfId="708" dataCellStyle="桁区切り" totalsRowCellStyle="桁区切り"/>
    <tableColumn id="15" xr3:uid="{C9D96F9F-4166-43B2-9A80-0B5B76F4408E}" name="法人／構成比" dataDxfId="707"/>
    <tableColumn id="16" xr3:uid="{29EC16E8-C2AC-4BD4-9ADB-912554F51815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632D099-1E75-4F26-B3BA-C9D7F2779ECF}" name="M_TABLE_23203" displayName="M_TABLE_23203" ref="B23:I43" totalsRowShown="0">
  <autoFilter ref="B23:I43" xr:uid="{8632D099-1E75-4F26-B3BA-C9D7F2779ECF}"/>
  <tableColumns count="8">
    <tableColumn id="9" xr3:uid="{45FC97C7-47C1-483A-A5FA-E4AB1747967D}" name="産業中分類上位２０"/>
    <tableColumn id="10" xr3:uid="{F5DE245D-6387-4D58-A2C6-B1D0CD70104F}" name="総数／事業所数" dataCellStyle="桁区切り"/>
    <tableColumn id="11" xr3:uid="{E53503CF-996D-477C-A9F2-DCE2ED87031A}" name="総数／構成比" dataDxfId="705"/>
    <tableColumn id="12" xr3:uid="{7D5C30F4-A675-4A21-B6DB-3937420F924B}" name="個人／事業所数" dataCellStyle="桁区切り"/>
    <tableColumn id="13" xr3:uid="{8FF09CCF-12F8-4AFA-9C3C-1C074CDE0F2C}" name="個人／構成比" dataDxfId="704"/>
    <tableColumn id="14" xr3:uid="{409A1C35-0478-485F-9336-7C6F5F0E6ED9}" name="法人／事業所数" dataCellStyle="桁区切り"/>
    <tableColumn id="15" xr3:uid="{0C087360-DB7F-4186-967C-C2EA16CA561D}" name="法人／構成比" dataDxfId="703"/>
    <tableColumn id="16" xr3:uid="{01C2D57B-2DAF-4172-84C8-692130B51E2A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F0D5EFB-056B-4567-98E8-66F4E72A6A67}" name="S_TABLE_23203" displayName="S_TABLE_23203" ref="B46:I66" totalsRowShown="0">
  <autoFilter ref="B46:I66" xr:uid="{8F0D5EFB-056B-4567-98E8-66F4E72A6A67}"/>
  <tableColumns count="8">
    <tableColumn id="9" xr3:uid="{3A316EA2-36D9-43B0-B150-2C1452A7E565}" name="産業小分類上位２０"/>
    <tableColumn id="10" xr3:uid="{567C05AB-EDD4-45E1-9D85-8A2E7E0D4F52}" name="総数／事業所数" dataCellStyle="桁区切り"/>
    <tableColumn id="11" xr3:uid="{67396DEE-798D-4B24-8DE8-15E60AB24E21}" name="総数／構成比" dataDxfId="702"/>
    <tableColumn id="12" xr3:uid="{2C613996-26FF-4A62-A6DB-7EE4656D7091}" name="個人／事業所数" dataCellStyle="桁区切り"/>
    <tableColumn id="13" xr3:uid="{6933F73D-7AD5-4229-B319-BEE73BFD41DE}" name="個人／構成比" dataDxfId="701"/>
    <tableColumn id="14" xr3:uid="{110472FE-A467-4B57-9A6C-5704451D9C31}" name="法人／事業所数" dataCellStyle="桁区切り"/>
    <tableColumn id="15" xr3:uid="{1E3E4F31-0CF0-4F6A-A4E6-A9B97F1B0030}" name="法人／構成比" dataDxfId="700"/>
    <tableColumn id="16" xr3:uid="{FDA552D3-54A5-4E60-91D6-D3B831D5CD5D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7316DC4-871B-4DFC-82BD-6C28E5B41ACD}" name="LTBL_23204" displayName="LTBL_23204" ref="B4:I20" totalsRowCount="1">
  <autoFilter ref="B4:I19" xr:uid="{77316DC4-871B-4DFC-82BD-6C28E5B41ACD}"/>
  <tableColumns count="8">
    <tableColumn id="9" xr3:uid="{1C464627-8E2F-42BB-839C-8560C29128EC}" name="産業大分類" totalsRowLabel="合計" totalsRowDxfId="699"/>
    <tableColumn id="10" xr3:uid="{A260285F-4869-45FB-A91E-7967062C17F2}" name="総数／事業所数" totalsRowFunction="custom" totalsRowDxfId="698" dataCellStyle="桁区切り" totalsRowCellStyle="桁区切り">
      <totalsRowFormula>SUM(LTBL_23204[総数／事業所数])</totalsRowFormula>
    </tableColumn>
    <tableColumn id="11" xr3:uid="{2B29E0C1-0814-4FE0-8F5A-325DED941516}" name="総数／構成比" dataDxfId="697"/>
    <tableColumn id="12" xr3:uid="{BC3FA8DB-2CF6-4061-9E42-DDBEA66611E8}" name="個人／事業所数" totalsRowFunction="sum" totalsRowDxfId="696" dataCellStyle="桁区切り" totalsRowCellStyle="桁区切り"/>
    <tableColumn id="13" xr3:uid="{E1BAC540-781E-4A4B-B1A7-352BFFD67461}" name="個人／構成比" dataDxfId="695"/>
    <tableColumn id="14" xr3:uid="{69322978-B51F-4C8C-AEE3-349D08A3B8F8}" name="法人／事業所数" totalsRowFunction="sum" totalsRowDxfId="694" dataCellStyle="桁区切り" totalsRowCellStyle="桁区切り"/>
    <tableColumn id="15" xr3:uid="{5EFC3798-2E41-4012-BD48-8A0E60B4F11E}" name="法人／構成比" dataDxfId="693"/>
    <tableColumn id="16" xr3:uid="{0CC2FA33-E4C7-4F9E-A116-09C1C428214F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06AFB20-8640-4CDA-8868-4A433EC9EAF7}" name="M_TABLE_23204" displayName="M_TABLE_23204" ref="B23:I44" totalsRowShown="0">
  <autoFilter ref="B23:I44" xr:uid="{C06AFB20-8640-4CDA-8868-4A433EC9EAF7}"/>
  <tableColumns count="8">
    <tableColumn id="9" xr3:uid="{69638CEC-6CC6-4E8E-8FB5-F5AA824A3FF2}" name="産業中分類上位２０"/>
    <tableColumn id="10" xr3:uid="{73228C81-55F6-4F0D-8A3A-FA9ACB35EE45}" name="総数／事業所数" dataCellStyle="桁区切り"/>
    <tableColumn id="11" xr3:uid="{466DC955-72C0-49CB-9724-AE0BFD3BFD01}" name="総数／構成比" dataDxfId="691"/>
    <tableColumn id="12" xr3:uid="{8517ADBB-FB2E-4DFF-A108-CE4C09B90113}" name="個人／事業所数" dataCellStyle="桁区切り"/>
    <tableColumn id="13" xr3:uid="{7DA23085-D78D-4E20-B6FA-B189BC53EA5F}" name="個人／構成比" dataDxfId="690"/>
    <tableColumn id="14" xr3:uid="{BBC55E49-DFE5-4C4E-8555-31A5C24634CC}" name="法人／事業所数" dataCellStyle="桁区切り"/>
    <tableColumn id="15" xr3:uid="{B1F4BF9E-326D-4CBD-8A44-7AE60B0F3C6C}" name="法人／構成比" dataDxfId="689"/>
    <tableColumn id="16" xr3:uid="{EE00C03B-3222-4D9D-A89F-4A446A6A1D1F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EBEA5AF-0386-4368-814D-11ACEBFEFBE5}" name="S_TABLE_23204" displayName="S_TABLE_23204" ref="B47:I67" totalsRowShown="0">
  <autoFilter ref="B47:I67" xr:uid="{4EBEA5AF-0386-4368-814D-11ACEBFEFBE5}"/>
  <tableColumns count="8">
    <tableColumn id="9" xr3:uid="{025D6439-BF72-4B3E-AF4F-C8C88C9F419B}" name="産業小分類上位２０"/>
    <tableColumn id="10" xr3:uid="{CA27D9F8-EDFE-41DA-BB5A-214D9892F4A7}" name="総数／事業所数" dataCellStyle="桁区切り"/>
    <tableColumn id="11" xr3:uid="{7CBC7111-63D0-4DD2-8CF4-E270DEB35557}" name="総数／構成比" dataDxfId="688"/>
    <tableColumn id="12" xr3:uid="{F67C0B45-CCDC-4C1D-B1BB-2E96A2E12EDD}" name="個人／事業所数" dataCellStyle="桁区切り"/>
    <tableColumn id="13" xr3:uid="{620B89C0-3DD6-4D6A-9BBF-0ECD941CC8F1}" name="個人／構成比" dataDxfId="687"/>
    <tableColumn id="14" xr3:uid="{62E3C36B-53E3-4BE2-8BC1-C31054121EF1}" name="法人／事業所数" dataCellStyle="桁区切り"/>
    <tableColumn id="15" xr3:uid="{20329022-46AA-4377-9B24-8103EA4E7747}" name="法人／構成比" dataDxfId="686"/>
    <tableColumn id="16" xr3:uid="{BADCC242-D042-4DCA-B5C2-2F2D31F3F42C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343600FC-E64E-4360-99D1-F9DE2D271DAA}" name="LTBL_23205" displayName="LTBL_23205" ref="B4:I20" totalsRowCount="1">
  <autoFilter ref="B4:I19" xr:uid="{343600FC-E64E-4360-99D1-F9DE2D271DAA}"/>
  <tableColumns count="8">
    <tableColumn id="9" xr3:uid="{D59D09D9-FE3D-4D08-957D-0BDE616E35AA}" name="産業大分類" totalsRowLabel="合計" totalsRowDxfId="685"/>
    <tableColumn id="10" xr3:uid="{D49E6D78-F834-489C-8D86-54B92425448D}" name="総数／事業所数" totalsRowFunction="custom" totalsRowDxfId="684" dataCellStyle="桁区切り" totalsRowCellStyle="桁区切り">
      <totalsRowFormula>SUM(LTBL_23205[総数／事業所数])</totalsRowFormula>
    </tableColumn>
    <tableColumn id="11" xr3:uid="{1A450607-8886-4EFE-8D26-E42B1D7F0B94}" name="総数／構成比" dataDxfId="683"/>
    <tableColumn id="12" xr3:uid="{C75205CE-835C-420E-ACFB-5CB15C010DD5}" name="個人／事業所数" totalsRowFunction="sum" totalsRowDxfId="682" dataCellStyle="桁区切り" totalsRowCellStyle="桁区切り"/>
    <tableColumn id="13" xr3:uid="{2AB311C5-D30E-4813-BC8D-BA407139E361}" name="個人／構成比" dataDxfId="681"/>
    <tableColumn id="14" xr3:uid="{BB052F53-9763-4398-804F-CBA4D68A43B9}" name="法人／事業所数" totalsRowFunction="sum" totalsRowDxfId="680" dataCellStyle="桁区切り" totalsRowCellStyle="桁区切り"/>
    <tableColumn id="15" xr3:uid="{F1334FE0-6D5B-4C25-87A8-02C6BC60361B}" name="法人／構成比" dataDxfId="679"/>
    <tableColumn id="16" xr3:uid="{9ED8FA15-3FA6-4FC4-930A-1CE45D57F3F0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622C485-2790-42FA-BCFB-2E1E50C8B763}" name="M_TABLE_23205" displayName="M_TABLE_23205" ref="B23:I43" totalsRowShown="0">
  <autoFilter ref="B23:I43" xr:uid="{D622C485-2790-42FA-BCFB-2E1E50C8B763}"/>
  <tableColumns count="8">
    <tableColumn id="9" xr3:uid="{029A4055-D6DA-47BB-8CFB-3094321E1390}" name="産業中分類上位２０"/>
    <tableColumn id="10" xr3:uid="{E05CC794-CB8A-45C1-8D43-A0FD590EA028}" name="総数／事業所数" dataCellStyle="桁区切り"/>
    <tableColumn id="11" xr3:uid="{5B1D47A9-D6C7-4EA1-BBBC-ED5F228CC805}" name="総数／構成比" dataDxfId="677"/>
    <tableColumn id="12" xr3:uid="{2B2E60B9-0C59-462F-8E2B-41156B86B8F2}" name="個人／事業所数" dataCellStyle="桁区切り"/>
    <tableColumn id="13" xr3:uid="{029B730E-0DDD-408D-9134-6B2A64241475}" name="個人／構成比" dataDxfId="676"/>
    <tableColumn id="14" xr3:uid="{A25F1E22-4608-4F41-B531-78C6923854D9}" name="法人／事業所数" dataCellStyle="桁区切り"/>
    <tableColumn id="15" xr3:uid="{DF54DBBB-06DB-42A9-990F-457CCCEBC3B3}" name="法人／構成比" dataDxfId="675"/>
    <tableColumn id="16" xr3:uid="{ABAE375A-32B9-49B4-8F6F-B8FF696C6A31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B859BF0F-DD4C-4F92-B49A-FBE016A2EA24}" name="S_TABLE_23205" displayName="S_TABLE_23205" ref="B46:I66" totalsRowShown="0">
  <autoFilter ref="B46:I66" xr:uid="{B859BF0F-DD4C-4F92-B49A-FBE016A2EA24}"/>
  <tableColumns count="8">
    <tableColumn id="9" xr3:uid="{891FD111-6E16-4780-9805-5E060E679994}" name="産業小分類上位２０"/>
    <tableColumn id="10" xr3:uid="{16653906-27CA-4F7C-BC45-5817EDD181A2}" name="総数／事業所数" dataCellStyle="桁区切り"/>
    <tableColumn id="11" xr3:uid="{22230C19-7D67-4136-9FF0-D0F242C0D3B3}" name="総数／構成比" dataDxfId="674"/>
    <tableColumn id="12" xr3:uid="{9A94AA47-EB3B-48E9-9D00-05132D9ACC39}" name="個人／事業所数" dataCellStyle="桁区切り"/>
    <tableColumn id="13" xr3:uid="{A6696EC5-D92B-40F6-8864-923E39EF574C}" name="個人／構成比" dataDxfId="673"/>
    <tableColumn id="14" xr3:uid="{CD88BC65-C3CC-4344-95D5-D946541405A0}" name="法人／事業所数" dataCellStyle="桁区切り"/>
    <tableColumn id="15" xr3:uid="{419E0A66-8FA5-4FBF-9862-E0A2587E9E5D}" name="法人／構成比" dataDxfId="672"/>
    <tableColumn id="16" xr3:uid="{61696F59-6695-4BE6-905D-AAADAAA33AA7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48C85CD-0F7E-4B71-B277-1BA75EC3E856}" name="LTBL_23101" displayName="LTBL_23101" ref="B4:I20" totalsRowCount="1">
  <autoFilter ref="B4:I19" xr:uid="{548C85CD-0F7E-4B71-B277-1BA75EC3E856}"/>
  <tableColumns count="8">
    <tableColumn id="9" xr3:uid="{36FBA2A0-A6F7-42AD-8112-10BEE6654353}" name="産業大分類" totalsRowLabel="合計" totalsRowDxfId="965"/>
    <tableColumn id="10" xr3:uid="{2DA6A187-7C4B-4B8F-9A01-F09444B7762A}" name="総数／事業所数" totalsRowFunction="custom" totalsRowDxfId="964" dataCellStyle="桁区切り" totalsRowCellStyle="桁区切り">
      <totalsRowFormula>SUM(LTBL_23101[総数／事業所数])</totalsRowFormula>
    </tableColumn>
    <tableColumn id="11" xr3:uid="{5AAE3BB6-A907-480A-BCE4-064F053EED25}" name="総数／構成比" dataDxfId="963"/>
    <tableColumn id="12" xr3:uid="{B3A6E9E2-72FD-4562-B9A3-4206FDAD2404}" name="個人／事業所数" totalsRowFunction="sum" totalsRowDxfId="962" dataCellStyle="桁区切り" totalsRowCellStyle="桁区切り"/>
    <tableColumn id="13" xr3:uid="{84BF51B7-2D61-4997-9B60-B180EC1D584D}" name="個人／構成比" dataDxfId="961"/>
    <tableColumn id="14" xr3:uid="{3B974855-EBF6-4B9F-AFFC-5AD107FB8407}" name="法人／事業所数" totalsRowFunction="sum" totalsRowDxfId="960" dataCellStyle="桁区切り" totalsRowCellStyle="桁区切り"/>
    <tableColumn id="15" xr3:uid="{C443DA48-B5D9-4FCC-B4E0-972796769BBE}" name="法人／構成比" dataDxfId="959"/>
    <tableColumn id="16" xr3:uid="{29251DD3-27D1-48EB-900A-C75289854E2C}" name="法人以外の団体／事業所数" totalsRowFunction="sum" totalsRowDxfId="95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6DB87F0-437E-4360-ABEC-F3E0319A8BCD}" name="LTBL_23206" displayName="LTBL_23206" ref="B4:I20" totalsRowCount="1">
  <autoFilter ref="B4:I19" xr:uid="{56DB87F0-437E-4360-ABEC-F3E0319A8BCD}"/>
  <tableColumns count="8">
    <tableColumn id="9" xr3:uid="{A9248199-638F-4011-8949-9C2FA1196D33}" name="産業大分類" totalsRowLabel="合計" totalsRowDxfId="671"/>
    <tableColumn id="10" xr3:uid="{17835D85-8637-4E2F-986D-21EAB713DDF9}" name="総数／事業所数" totalsRowFunction="custom" totalsRowDxfId="670" dataCellStyle="桁区切り" totalsRowCellStyle="桁区切り">
      <totalsRowFormula>SUM(LTBL_23206[総数／事業所数])</totalsRowFormula>
    </tableColumn>
    <tableColumn id="11" xr3:uid="{A36DAC27-0D5D-44DF-8460-1396F6A9A181}" name="総数／構成比" dataDxfId="669"/>
    <tableColumn id="12" xr3:uid="{DAE4ED12-C3A3-42BF-AECE-5DF118B55392}" name="個人／事業所数" totalsRowFunction="sum" totalsRowDxfId="668" dataCellStyle="桁区切り" totalsRowCellStyle="桁区切り"/>
    <tableColumn id="13" xr3:uid="{E8041B21-061F-4267-9C4B-E03260FE760D}" name="個人／構成比" dataDxfId="667"/>
    <tableColumn id="14" xr3:uid="{811F4F6E-C0FB-4565-843F-613A2A31AEB1}" name="法人／事業所数" totalsRowFunction="sum" totalsRowDxfId="666" dataCellStyle="桁区切り" totalsRowCellStyle="桁区切り"/>
    <tableColumn id="15" xr3:uid="{843EAA3C-C44A-4F61-9C2A-8479360AB94F}" name="法人／構成比" dataDxfId="665"/>
    <tableColumn id="16" xr3:uid="{1B4B9AEC-647D-4DDE-BDCE-E5FB0BD8096C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A04E9869-5609-4D0C-8C3F-4FBA145C4B37}" name="M_TABLE_23206" displayName="M_TABLE_23206" ref="B23:I43" totalsRowShown="0">
  <autoFilter ref="B23:I43" xr:uid="{A04E9869-5609-4D0C-8C3F-4FBA145C4B37}"/>
  <tableColumns count="8">
    <tableColumn id="9" xr3:uid="{468521DF-2DF2-4E69-B1D6-3932063D9544}" name="産業中分類上位２０"/>
    <tableColumn id="10" xr3:uid="{7DCBD4F1-9A2D-40EF-A864-2B67D543A71C}" name="総数／事業所数" dataCellStyle="桁区切り"/>
    <tableColumn id="11" xr3:uid="{55D57EB2-23DA-44D1-9090-0BA4121E4CC8}" name="総数／構成比" dataDxfId="663"/>
    <tableColumn id="12" xr3:uid="{D886B097-1DDF-454C-8621-CF267DC9D407}" name="個人／事業所数" dataCellStyle="桁区切り"/>
    <tableColumn id="13" xr3:uid="{62C14B9A-F0A0-4FD5-955B-7DCDED6C4BEF}" name="個人／構成比" dataDxfId="662"/>
    <tableColumn id="14" xr3:uid="{33B8B127-C513-461B-B786-819116183E83}" name="法人／事業所数" dataCellStyle="桁区切り"/>
    <tableColumn id="15" xr3:uid="{D45007F9-6945-43AD-A9C2-C50A967DC7DE}" name="法人／構成比" dataDxfId="661"/>
    <tableColumn id="16" xr3:uid="{0303145E-B03F-4609-B60B-CFA2B3A13D23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55C029E-DF5A-4649-9ED8-20610176ED75}" name="S_TABLE_23206" displayName="S_TABLE_23206" ref="B46:I66" totalsRowShown="0">
  <autoFilter ref="B46:I66" xr:uid="{455C029E-DF5A-4649-9ED8-20610176ED75}"/>
  <tableColumns count="8">
    <tableColumn id="9" xr3:uid="{A10F58F4-6442-438B-8008-6612F0B381AA}" name="産業小分類上位２０"/>
    <tableColumn id="10" xr3:uid="{C8500F02-2481-4749-87CC-A61F6AD333BA}" name="総数／事業所数" dataCellStyle="桁区切り"/>
    <tableColumn id="11" xr3:uid="{25A14947-B0BB-4A59-879B-A060D2341256}" name="総数／構成比" dataDxfId="660"/>
    <tableColumn id="12" xr3:uid="{5338C2BB-B98D-4C5D-9E7A-ED097C3FB399}" name="個人／事業所数" dataCellStyle="桁区切り"/>
    <tableColumn id="13" xr3:uid="{29DA3F91-D0B0-48AC-B892-387C086F525E}" name="個人／構成比" dataDxfId="659"/>
    <tableColumn id="14" xr3:uid="{01024CA2-0C57-4651-8DCE-806F85804637}" name="法人／事業所数" dataCellStyle="桁区切り"/>
    <tableColumn id="15" xr3:uid="{408E3C5C-A81E-4880-8AC6-F4CD730B5CA6}" name="法人／構成比" dataDxfId="658"/>
    <tableColumn id="16" xr3:uid="{8ECE3704-B45D-4673-B1A5-640F0E5E1760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22B4717-D6E8-4A99-86C5-77E71EFF883C}" name="LTBL_23207" displayName="LTBL_23207" ref="B4:I20" totalsRowCount="1">
  <autoFilter ref="B4:I19" xr:uid="{722B4717-D6E8-4A99-86C5-77E71EFF883C}"/>
  <tableColumns count="8">
    <tableColumn id="9" xr3:uid="{DE57D290-2AC3-4807-8D53-EC2964F86969}" name="産業大分類" totalsRowLabel="合計" totalsRowDxfId="657"/>
    <tableColumn id="10" xr3:uid="{347917A2-A8DE-4117-B82C-890FC11134EA}" name="総数／事業所数" totalsRowFunction="custom" totalsRowDxfId="656" dataCellStyle="桁区切り" totalsRowCellStyle="桁区切り">
      <totalsRowFormula>SUM(LTBL_23207[総数／事業所数])</totalsRowFormula>
    </tableColumn>
    <tableColumn id="11" xr3:uid="{57DFFD8E-D843-40CC-9831-271FDE2BB933}" name="総数／構成比" dataDxfId="655"/>
    <tableColumn id="12" xr3:uid="{BA7FDB5C-906D-4581-9D21-BC5A6E17BE17}" name="個人／事業所数" totalsRowFunction="sum" totalsRowDxfId="654" dataCellStyle="桁区切り" totalsRowCellStyle="桁区切り"/>
    <tableColumn id="13" xr3:uid="{429045B2-FBA9-4839-B79C-6A8BBBA30AE1}" name="個人／構成比" dataDxfId="653"/>
    <tableColumn id="14" xr3:uid="{057406BB-2081-4758-B95A-245465602A43}" name="法人／事業所数" totalsRowFunction="sum" totalsRowDxfId="652" dataCellStyle="桁区切り" totalsRowCellStyle="桁区切り"/>
    <tableColumn id="15" xr3:uid="{D3844BEA-77AA-4F34-AE96-864E35E19B39}" name="法人／構成比" dataDxfId="651"/>
    <tableColumn id="16" xr3:uid="{F6A017A2-0688-4517-924C-171B43D3BBB6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9E744407-96B3-4DB1-BFCC-45066512E836}" name="M_TABLE_23207" displayName="M_TABLE_23207" ref="B23:I45" totalsRowShown="0">
  <autoFilter ref="B23:I45" xr:uid="{9E744407-96B3-4DB1-BFCC-45066512E836}"/>
  <tableColumns count="8">
    <tableColumn id="9" xr3:uid="{084EB898-B9BE-4A8F-B198-3355498F4D79}" name="産業中分類上位２０"/>
    <tableColumn id="10" xr3:uid="{63880DE8-F16A-4BD1-9E70-894526151008}" name="総数／事業所数" dataCellStyle="桁区切り"/>
    <tableColumn id="11" xr3:uid="{DBD867D6-90CD-4685-915B-FAB33E2E6E95}" name="総数／構成比" dataDxfId="649"/>
    <tableColumn id="12" xr3:uid="{432C1AFB-2410-4B92-930E-4C1BB1ED73DA}" name="個人／事業所数" dataCellStyle="桁区切り"/>
    <tableColumn id="13" xr3:uid="{1E02F3E5-86B5-45BE-8938-040F898E22C9}" name="個人／構成比" dataDxfId="648"/>
    <tableColumn id="14" xr3:uid="{C1922F54-5EB7-4F27-8403-E9C01025E795}" name="法人／事業所数" dataCellStyle="桁区切り"/>
    <tableColumn id="15" xr3:uid="{9E5C1BE3-386A-407E-B506-6ACDD4DABCDC}" name="法人／構成比" dataDxfId="647"/>
    <tableColumn id="16" xr3:uid="{066CDB8B-AED7-4097-A05C-C219C51E7C03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87F791A-DBAD-4155-999F-396B521D01E8}" name="S_TABLE_23207" displayName="S_TABLE_23207" ref="B48:I68" totalsRowShown="0">
  <autoFilter ref="B48:I68" xr:uid="{F87F791A-DBAD-4155-999F-396B521D01E8}"/>
  <tableColumns count="8">
    <tableColumn id="9" xr3:uid="{DF011F4C-3FB8-46E5-AC3C-EF6E403CCD2A}" name="産業小分類上位２０"/>
    <tableColumn id="10" xr3:uid="{D2C0F048-5019-467A-9C7E-D78D78A64641}" name="総数／事業所数" dataCellStyle="桁区切り"/>
    <tableColumn id="11" xr3:uid="{04F06F42-CA61-484A-806F-5580E313A99C}" name="総数／構成比" dataDxfId="646"/>
    <tableColumn id="12" xr3:uid="{B9BBC5CA-B8C2-4812-A02C-910E1E2DAB4E}" name="個人／事業所数" dataCellStyle="桁区切り"/>
    <tableColumn id="13" xr3:uid="{30CB29B5-BDFA-4152-B225-4BCF41EFD489}" name="個人／構成比" dataDxfId="645"/>
    <tableColumn id="14" xr3:uid="{0DD62E35-9953-4EB4-A2F4-710A27B43172}" name="法人／事業所数" dataCellStyle="桁区切り"/>
    <tableColumn id="15" xr3:uid="{B6646582-E2A9-4B28-9D2D-4119BB6C0616}" name="法人／構成比" dataDxfId="644"/>
    <tableColumn id="16" xr3:uid="{C4E56DE9-263F-4B26-9C52-082AED8707A4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22970348-DD7E-4120-B56D-6E5AAE77D576}" name="LTBL_23208" displayName="LTBL_23208" ref="B4:I20" totalsRowCount="1">
  <autoFilter ref="B4:I19" xr:uid="{22970348-DD7E-4120-B56D-6E5AAE77D576}"/>
  <tableColumns count="8">
    <tableColumn id="9" xr3:uid="{D850A94D-4F94-46C8-88DD-F40D90B4879C}" name="産業大分類" totalsRowLabel="合計" totalsRowDxfId="643"/>
    <tableColumn id="10" xr3:uid="{99D1C30C-93C4-4229-B5DA-97FD9A98A4D0}" name="総数／事業所数" totalsRowFunction="custom" totalsRowDxfId="642" dataCellStyle="桁区切り" totalsRowCellStyle="桁区切り">
      <totalsRowFormula>SUM(LTBL_23208[総数／事業所数])</totalsRowFormula>
    </tableColumn>
    <tableColumn id="11" xr3:uid="{8EB98E7A-6DBC-441D-99FA-23483A1595C1}" name="総数／構成比" dataDxfId="641"/>
    <tableColumn id="12" xr3:uid="{BF4BA144-E965-4661-8AA6-F20F67200DD3}" name="個人／事業所数" totalsRowFunction="sum" totalsRowDxfId="640" dataCellStyle="桁区切り" totalsRowCellStyle="桁区切り"/>
    <tableColumn id="13" xr3:uid="{7105791F-3679-4490-895F-ECF101B66960}" name="個人／構成比" dataDxfId="639"/>
    <tableColumn id="14" xr3:uid="{5A71119C-C4BF-4354-AF39-87BA67C23B4A}" name="法人／事業所数" totalsRowFunction="sum" totalsRowDxfId="638" dataCellStyle="桁区切り" totalsRowCellStyle="桁区切り"/>
    <tableColumn id="15" xr3:uid="{871EB2F3-2AD4-4838-AFBF-9FB2C08EDD51}" name="法人／構成比" dataDxfId="637"/>
    <tableColumn id="16" xr3:uid="{4F4BF9B8-672F-461D-B064-E0084EA6A77A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2B3EF1F0-9F9D-43F2-886D-A266FE8CC517}" name="M_TABLE_23208" displayName="M_TABLE_23208" ref="B23:I43" totalsRowShown="0">
  <autoFilter ref="B23:I43" xr:uid="{2B3EF1F0-9F9D-43F2-886D-A266FE8CC517}"/>
  <tableColumns count="8">
    <tableColumn id="9" xr3:uid="{839AFE23-2D72-4BB4-B9C7-B9A1ECB44A7C}" name="産業中分類上位２０"/>
    <tableColumn id="10" xr3:uid="{BB970FFB-D95D-4B8B-B3A8-DAA88F06AD56}" name="総数／事業所数" dataCellStyle="桁区切り"/>
    <tableColumn id="11" xr3:uid="{D8F1D27E-3F9C-4CDF-9498-B2005A7899D0}" name="総数／構成比" dataDxfId="635"/>
    <tableColumn id="12" xr3:uid="{3DA19DCB-5D28-44BB-A6E5-B8C664F804BD}" name="個人／事業所数" dataCellStyle="桁区切り"/>
    <tableColumn id="13" xr3:uid="{C93A9495-A31E-4889-8D17-0805E024D24B}" name="個人／構成比" dataDxfId="634"/>
    <tableColumn id="14" xr3:uid="{91638711-BB9B-4E79-93F0-EA95B5603289}" name="法人／事業所数" dataCellStyle="桁区切り"/>
    <tableColumn id="15" xr3:uid="{8CB6AFBD-F64C-4288-885C-9F0B86A32FF4}" name="法人／構成比" dataDxfId="633"/>
    <tableColumn id="16" xr3:uid="{217AB4F0-41F4-415A-95FE-1C0C73F6C6A4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89725975-B119-48CF-9A9C-AEBA2E9B020E}" name="S_TABLE_23208" displayName="S_TABLE_23208" ref="B46:I69" totalsRowShown="0">
  <autoFilter ref="B46:I69" xr:uid="{89725975-B119-48CF-9A9C-AEBA2E9B020E}"/>
  <tableColumns count="8">
    <tableColumn id="9" xr3:uid="{4E618621-5D42-40C4-AD8D-911671E61285}" name="産業小分類上位２０"/>
    <tableColumn id="10" xr3:uid="{CE7ACDD1-10AE-409E-A66B-AAB43802256F}" name="総数／事業所数" dataCellStyle="桁区切り"/>
    <tableColumn id="11" xr3:uid="{332F16B7-1DAF-4755-A91C-BC3F7669A249}" name="総数／構成比" dataDxfId="632"/>
    <tableColumn id="12" xr3:uid="{E0E909FF-8F5F-4B56-9274-ECBA1C6D5016}" name="個人／事業所数" dataCellStyle="桁区切り"/>
    <tableColumn id="13" xr3:uid="{1B13D13A-A4A5-4ED0-BC59-5815942530C1}" name="個人／構成比" dataDxfId="631"/>
    <tableColumn id="14" xr3:uid="{54821926-E6C5-4888-B2E9-EC6A1212B9B0}" name="法人／事業所数" dataCellStyle="桁区切り"/>
    <tableColumn id="15" xr3:uid="{D304FB90-4D0C-4941-90E0-7AE5FAE0EE14}" name="法人／構成比" dataDxfId="630"/>
    <tableColumn id="16" xr3:uid="{77710AFF-D2C3-4FDD-AFF5-F50D7916B228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AD53EB4C-0E5A-415C-9549-87D4A27841A2}" name="LTBL_23209" displayName="LTBL_23209" ref="B4:I20" totalsRowCount="1">
  <autoFilter ref="B4:I19" xr:uid="{AD53EB4C-0E5A-415C-9549-87D4A27841A2}"/>
  <tableColumns count="8">
    <tableColumn id="9" xr3:uid="{F97ADF3F-9AE8-44A8-A2EE-AD98EFD24902}" name="産業大分類" totalsRowLabel="合計" totalsRowDxfId="629"/>
    <tableColumn id="10" xr3:uid="{3BEFD181-E8A3-4D50-AFE8-743FF4B3EBD9}" name="総数／事業所数" totalsRowFunction="custom" totalsRowDxfId="628" dataCellStyle="桁区切り" totalsRowCellStyle="桁区切り">
      <totalsRowFormula>SUM(LTBL_23209[総数／事業所数])</totalsRowFormula>
    </tableColumn>
    <tableColumn id="11" xr3:uid="{61FA11D5-DD13-490A-BAEA-3A4C3361269D}" name="総数／構成比" dataDxfId="627"/>
    <tableColumn id="12" xr3:uid="{13EE29D2-980E-49B7-A4D7-5767416D188B}" name="個人／事業所数" totalsRowFunction="sum" totalsRowDxfId="626" dataCellStyle="桁区切り" totalsRowCellStyle="桁区切り"/>
    <tableColumn id="13" xr3:uid="{8B61AF7D-B1C9-4001-99B3-85F9982D3CE7}" name="個人／構成比" dataDxfId="625"/>
    <tableColumn id="14" xr3:uid="{52F93DCA-8844-4EBE-8B44-33834FDD4E50}" name="法人／事業所数" totalsRowFunction="sum" totalsRowDxfId="624" dataCellStyle="桁区切り" totalsRowCellStyle="桁区切り"/>
    <tableColumn id="15" xr3:uid="{6C88842B-E80F-4DE4-922D-D46607FCAAE6}" name="法人／構成比" dataDxfId="623"/>
    <tableColumn id="16" xr3:uid="{E8DA29DA-9D5C-46D2-B00A-C52DFCD84EDA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04CC57E-E6E1-4B34-9031-8AA15AE54F05}" name="M_TABLE_23101" displayName="M_TABLE_23101" ref="B23:I44" totalsRowShown="0">
  <autoFilter ref="B23:I44" xr:uid="{504CC57E-E6E1-4B34-9031-8AA15AE54F05}"/>
  <tableColumns count="8">
    <tableColumn id="9" xr3:uid="{3FE4CC59-4508-4899-9E83-476F730C8292}" name="産業中分類上位２０"/>
    <tableColumn id="10" xr3:uid="{F2F1EE70-B0A3-4768-9E3A-D48B8DB6F3DB}" name="総数／事業所数" dataCellStyle="桁区切り"/>
    <tableColumn id="11" xr3:uid="{FBC305D8-DAD2-4621-A304-41DE73213DCB}" name="総数／構成比" dataDxfId="957"/>
    <tableColumn id="12" xr3:uid="{DC0ED234-2149-49A1-AEDB-3C9A09E4C059}" name="個人／事業所数" dataCellStyle="桁区切り"/>
    <tableColumn id="13" xr3:uid="{9824121E-2C15-40DD-B5F3-6F6BCEE609CC}" name="個人／構成比" dataDxfId="956"/>
    <tableColumn id="14" xr3:uid="{7A9DA471-E84E-4FEC-A1FA-AC79BF84B7F9}" name="法人／事業所数" dataCellStyle="桁区切り"/>
    <tableColumn id="15" xr3:uid="{1AA09D84-6BFE-4A83-8950-8117F4C07917}" name="法人／構成比" dataDxfId="955"/>
    <tableColumn id="16" xr3:uid="{5914CB5C-1B74-4852-A473-B050286622C5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B21C9E01-AB0C-46C2-B2D8-6323CCDB28D0}" name="M_TABLE_23209" displayName="M_TABLE_23209" ref="B23:I43" totalsRowShown="0">
  <autoFilter ref="B23:I43" xr:uid="{B21C9E01-AB0C-46C2-B2D8-6323CCDB28D0}"/>
  <tableColumns count="8">
    <tableColumn id="9" xr3:uid="{B4D9852B-BD17-48CB-87CE-B8190CA8B3D4}" name="産業中分類上位２０"/>
    <tableColumn id="10" xr3:uid="{9505FA17-7E67-41E9-AE70-CA891C665500}" name="総数／事業所数" dataCellStyle="桁区切り"/>
    <tableColumn id="11" xr3:uid="{519FA164-86B8-427F-AD2A-3FA9FF06AEAC}" name="総数／構成比" dataDxfId="621"/>
    <tableColumn id="12" xr3:uid="{0362BFF5-A5B2-4877-B15B-9F946D9BA3B3}" name="個人／事業所数" dataCellStyle="桁区切り"/>
    <tableColumn id="13" xr3:uid="{20FFA9F8-96A1-4E4A-90D9-FAE838E97A71}" name="個人／構成比" dataDxfId="620"/>
    <tableColumn id="14" xr3:uid="{3A03F79D-C668-439B-8A45-8A8BD9E9DAFE}" name="法人／事業所数" dataCellStyle="桁区切り"/>
    <tableColumn id="15" xr3:uid="{D2F413DE-934D-450F-8E1E-F257FADAD950}" name="法人／構成比" dataDxfId="619"/>
    <tableColumn id="16" xr3:uid="{1697450D-0FDE-4EC6-B4A9-9069B18795BE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E2A8F49F-2C54-4DA7-82ED-4937558199DE}" name="S_TABLE_23209" displayName="S_TABLE_23209" ref="B46:I66" totalsRowShown="0">
  <autoFilter ref="B46:I66" xr:uid="{E2A8F49F-2C54-4DA7-82ED-4937558199DE}"/>
  <tableColumns count="8">
    <tableColumn id="9" xr3:uid="{E1D844A3-5ADE-4F93-9C54-AA8B37741701}" name="産業小分類上位２０"/>
    <tableColumn id="10" xr3:uid="{7B7ED510-056F-4C19-ACBD-88313AE87A1A}" name="総数／事業所数" dataCellStyle="桁区切り"/>
    <tableColumn id="11" xr3:uid="{40EF8B24-6C0C-47EB-B22A-1E50B9F27665}" name="総数／構成比" dataDxfId="618"/>
    <tableColumn id="12" xr3:uid="{6F75B385-9F21-47C5-A09D-B2639142E4DE}" name="個人／事業所数" dataCellStyle="桁区切り"/>
    <tableColumn id="13" xr3:uid="{96B7ADFE-98DD-413E-9127-057F999EA32B}" name="個人／構成比" dataDxfId="617"/>
    <tableColumn id="14" xr3:uid="{0BAE880D-9128-402F-9322-16A896AFC0F8}" name="法人／事業所数" dataCellStyle="桁区切り"/>
    <tableColumn id="15" xr3:uid="{C0F34175-8564-450C-9D3E-4FDC7EF9B996}" name="法人／構成比" dataDxfId="616"/>
    <tableColumn id="16" xr3:uid="{210591B2-C812-455C-B2C4-EB99CCF464AA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424E44E4-44F3-42BB-9162-83614B40A814}" name="LTBL_23210" displayName="LTBL_23210" ref="B4:I20" totalsRowCount="1">
  <autoFilter ref="B4:I19" xr:uid="{424E44E4-44F3-42BB-9162-83614B40A814}"/>
  <tableColumns count="8">
    <tableColumn id="9" xr3:uid="{17EC9E1A-04E9-4AFB-8866-C4E7A72EC0E9}" name="産業大分類" totalsRowLabel="合計" totalsRowDxfId="615"/>
    <tableColumn id="10" xr3:uid="{657ABAAD-9FCD-4834-BED6-27416B082749}" name="総数／事業所数" totalsRowFunction="custom" totalsRowDxfId="614" dataCellStyle="桁区切り" totalsRowCellStyle="桁区切り">
      <totalsRowFormula>SUM(LTBL_23210[総数／事業所数])</totalsRowFormula>
    </tableColumn>
    <tableColumn id="11" xr3:uid="{07326EC4-2FE2-4C47-945D-710CD5B501E7}" name="総数／構成比" dataDxfId="613"/>
    <tableColumn id="12" xr3:uid="{BDA28A21-FA0F-463C-919C-8F9EB1679C9D}" name="個人／事業所数" totalsRowFunction="sum" totalsRowDxfId="612" dataCellStyle="桁区切り" totalsRowCellStyle="桁区切り"/>
    <tableColumn id="13" xr3:uid="{84495F78-DEAA-4850-8E84-E74BDCD9B548}" name="個人／構成比" dataDxfId="611"/>
    <tableColumn id="14" xr3:uid="{40829964-2668-4F54-A212-99B091E571F0}" name="法人／事業所数" totalsRowFunction="sum" totalsRowDxfId="610" dataCellStyle="桁区切り" totalsRowCellStyle="桁区切り"/>
    <tableColumn id="15" xr3:uid="{3BA8F6F9-9417-4FF5-918E-817AC5D44886}" name="法人／構成比" dataDxfId="609"/>
    <tableColumn id="16" xr3:uid="{36C48740-6791-48B5-9F48-B4DD59D98BE3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0C44310-626E-4922-83A7-2DC1909E05CC}" name="M_TABLE_23210" displayName="M_TABLE_23210" ref="B23:I43" totalsRowShown="0">
  <autoFilter ref="B23:I43" xr:uid="{80C44310-626E-4922-83A7-2DC1909E05CC}"/>
  <tableColumns count="8">
    <tableColumn id="9" xr3:uid="{2D13140D-7585-43A6-880C-465FE6707299}" name="産業中分類上位２０"/>
    <tableColumn id="10" xr3:uid="{A01E12BE-012F-4C7F-9F7A-2B16C00154D8}" name="総数／事業所数" dataCellStyle="桁区切り"/>
    <tableColumn id="11" xr3:uid="{8001C068-3225-442E-B1D9-2A2EAD34DE39}" name="総数／構成比" dataDxfId="607"/>
    <tableColumn id="12" xr3:uid="{7AE4B773-B71E-4176-B416-8AB7A6BBA529}" name="個人／事業所数" dataCellStyle="桁区切り"/>
    <tableColumn id="13" xr3:uid="{547B1D4E-DA15-4D3B-B1C4-F83DFF48D8F9}" name="個人／構成比" dataDxfId="606"/>
    <tableColumn id="14" xr3:uid="{3F980C64-6D94-4596-8EE0-8CFA45DC21F1}" name="法人／事業所数" dataCellStyle="桁区切り"/>
    <tableColumn id="15" xr3:uid="{2074CD5F-ED8E-4606-8B8E-3D6338F593FA}" name="法人／構成比" dataDxfId="605"/>
    <tableColumn id="16" xr3:uid="{4C7DAB57-4295-4AD7-A412-916675702E42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63ACCA86-3384-4BE9-89FC-891043CF5896}" name="S_TABLE_23210" displayName="S_TABLE_23210" ref="B46:I68" totalsRowShown="0">
  <autoFilter ref="B46:I68" xr:uid="{63ACCA86-3384-4BE9-89FC-891043CF5896}"/>
  <tableColumns count="8">
    <tableColumn id="9" xr3:uid="{BB92C661-928D-4CA2-946C-D423C55A3287}" name="産業小分類上位２０"/>
    <tableColumn id="10" xr3:uid="{B173D66C-2D93-459F-AE9B-E8C6E00D8B10}" name="総数／事業所数" dataCellStyle="桁区切り"/>
    <tableColumn id="11" xr3:uid="{F038E99D-128F-4E59-BCA2-712C85AEF7DC}" name="総数／構成比" dataDxfId="604"/>
    <tableColumn id="12" xr3:uid="{F0DE4CDF-9AAE-4122-8735-5FA8E7BF09B1}" name="個人／事業所数" dataCellStyle="桁区切り"/>
    <tableColumn id="13" xr3:uid="{48244C52-1922-43FB-8771-A1B4E030CD01}" name="個人／構成比" dataDxfId="603"/>
    <tableColumn id="14" xr3:uid="{7E337F83-6AA7-4FA5-86E9-11276680AB14}" name="法人／事業所数" dataCellStyle="桁区切り"/>
    <tableColumn id="15" xr3:uid="{F211D36A-0C3A-4BA5-B484-FE6058C5183E}" name="法人／構成比" dataDxfId="602"/>
    <tableColumn id="16" xr3:uid="{1B268247-D545-4561-B64F-9991304D230A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31FF2970-F040-4337-9C0D-3B94181B6F1D}" name="LTBL_23211" displayName="LTBL_23211" ref="B4:I20" totalsRowCount="1">
  <autoFilter ref="B4:I19" xr:uid="{31FF2970-F040-4337-9C0D-3B94181B6F1D}"/>
  <tableColumns count="8">
    <tableColumn id="9" xr3:uid="{E678964A-BDC5-4382-A6FB-01556A1CB9A3}" name="産業大分類" totalsRowLabel="合計" totalsRowDxfId="601"/>
    <tableColumn id="10" xr3:uid="{1DB89557-13F4-4D20-A626-DE021582F427}" name="総数／事業所数" totalsRowFunction="custom" totalsRowDxfId="600" dataCellStyle="桁区切り" totalsRowCellStyle="桁区切り">
      <totalsRowFormula>SUM(LTBL_23211[総数／事業所数])</totalsRowFormula>
    </tableColumn>
    <tableColumn id="11" xr3:uid="{6E7E84E0-A30A-4617-B2A7-39BD4E10616A}" name="総数／構成比" dataDxfId="599"/>
    <tableColumn id="12" xr3:uid="{D83D5CAC-8C63-47AC-9F27-FE6E50492750}" name="個人／事業所数" totalsRowFunction="sum" totalsRowDxfId="598" dataCellStyle="桁区切り" totalsRowCellStyle="桁区切り"/>
    <tableColumn id="13" xr3:uid="{4B9570AD-F644-4641-93BE-36744339B2D1}" name="個人／構成比" dataDxfId="597"/>
    <tableColumn id="14" xr3:uid="{0CD08514-42E6-4289-A6D0-A04A2DF1FBA6}" name="法人／事業所数" totalsRowFunction="sum" totalsRowDxfId="596" dataCellStyle="桁区切り" totalsRowCellStyle="桁区切り"/>
    <tableColumn id="15" xr3:uid="{056C2407-D2D8-45D4-953A-9D8812F69106}" name="法人／構成比" dataDxfId="595"/>
    <tableColumn id="16" xr3:uid="{BBDEA163-4281-42FD-993C-A82424C53776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6317EA5F-C11F-4796-90B4-100C889DE32E}" name="M_TABLE_23211" displayName="M_TABLE_23211" ref="B23:I43" totalsRowShown="0">
  <autoFilter ref="B23:I43" xr:uid="{6317EA5F-C11F-4796-90B4-100C889DE32E}"/>
  <tableColumns count="8">
    <tableColumn id="9" xr3:uid="{B1E66509-1836-43B1-9EEC-CC641F5DA937}" name="産業中分類上位２０"/>
    <tableColumn id="10" xr3:uid="{7989FCD0-E2E0-48BF-9FC5-EA404F9BEE46}" name="総数／事業所数" dataCellStyle="桁区切り"/>
    <tableColumn id="11" xr3:uid="{A56B9401-6C69-472B-98C7-2DDB89F66F09}" name="総数／構成比" dataDxfId="593"/>
    <tableColumn id="12" xr3:uid="{9AA0C0F0-AC3B-435A-B11C-ED71A7DA92C5}" name="個人／事業所数" dataCellStyle="桁区切り"/>
    <tableColumn id="13" xr3:uid="{88D50C1A-F349-4BB1-BEDC-3C418409AB14}" name="個人／構成比" dataDxfId="592"/>
    <tableColumn id="14" xr3:uid="{E5D79A60-690B-47ED-A8EC-0D361402B209}" name="法人／事業所数" dataCellStyle="桁区切り"/>
    <tableColumn id="15" xr3:uid="{D14BD68A-9D4B-46FA-B4B6-9F8BFBAB8E07}" name="法人／構成比" dataDxfId="591"/>
    <tableColumn id="16" xr3:uid="{A741877C-7E6E-4B46-B6CB-82A33EED145B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E315C68A-DB8D-4916-8C8B-9DC342EACAAF}" name="S_TABLE_23211" displayName="S_TABLE_23211" ref="B46:I67" totalsRowShown="0">
  <autoFilter ref="B46:I67" xr:uid="{E315C68A-DB8D-4916-8C8B-9DC342EACAAF}"/>
  <tableColumns count="8">
    <tableColumn id="9" xr3:uid="{09C22126-A1D2-4BE2-AD51-204CD3BEF3B2}" name="産業小分類上位２０"/>
    <tableColumn id="10" xr3:uid="{A97A7842-62AF-4EC9-874F-38B592842465}" name="総数／事業所数" dataCellStyle="桁区切り"/>
    <tableColumn id="11" xr3:uid="{CC058227-E385-4C2E-9865-C6B464D2E44F}" name="総数／構成比" dataDxfId="590"/>
    <tableColumn id="12" xr3:uid="{BBB4BF38-E6A5-4029-952A-0106883CC2AE}" name="個人／事業所数" dataCellStyle="桁区切り"/>
    <tableColumn id="13" xr3:uid="{7843CB30-058C-46AC-B21E-F9BFAE482E08}" name="個人／構成比" dataDxfId="589"/>
    <tableColumn id="14" xr3:uid="{284C9713-02F4-4798-89A0-C91C36013C3B}" name="法人／事業所数" dataCellStyle="桁区切り"/>
    <tableColumn id="15" xr3:uid="{F76E857F-29B4-4B23-9117-5776EDF5DB19}" name="法人／構成比" dataDxfId="588"/>
    <tableColumn id="16" xr3:uid="{ECAFF9F0-0E0B-4A41-A545-A211FE838A30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16FC404-72DA-468B-B44F-DB2F373FA626}" name="LTBL_23212" displayName="LTBL_23212" ref="B4:I20" totalsRowCount="1">
  <autoFilter ref="B4:I19" xr:uid="{716FC404-72DA-468B-B44F-DB2F373FA626}"/>
  <tableColumns count="8">
    <tableColumn id="9" xr3:uid="{0167B2DA-91B6-4CC5-A423-A2B0A8185534}" name="産業大分類" totalsRowLabel="合計" totalsRowDxfId="587"/>
    <tableColumn id="10" xr3:uid="{525C8C0A-E9F0-4F23-9578-932A223F9480}" name="総数／事業所数" totalsRowFunction="custom" totalsRowDxfId="586" dataCellStyle="桁区切り" totalsRowCellStyle="桁区切り">
      <totalsRowFormula>SUM(LTBL_23212[総数／事業所数])</totalsRowFormula>
    </tableColumn>
    <tableColumn id="11" xr3:uid="{EBD6BF38-45DA-457E-927B-1C188B7739F1}" name="総数／構成比" dataDxfId="585"/>
    <tableColumn id="12" xr3:uid="{A063B1FF-B9FF-42DE-8829-2468460FDD20}" name="個人／事業所数" totalsRowFunction="sum" totalsRowDxfId="584" dataCellStyle="桁区切り" totalsRowCellStyle="桁区切り"/>
    <tableColumn id="13" xr3:uid="{325B688D-81A8-487A-899B-9022867EE682}" name="個人／構成比" dataDxfId="583"/>
    <tableColumn id="14" xr3:uid="{6C9A8DAE-39C9-4109-B038-FD552A94EF5F}" name="法人／事業所数" totalsRowFunction="sum" totalsRowDxfId="582" dataCellStyle="桁区切り" totalsRowCellStyle="桁区切り"/>
    <tableColumn id="15" xr3:uid="{3D774059-9A5B-4D18-8DA5-A420741B5A66}" name="法人／構成比" dataDxfId="581"/>
    <tableColumn id="16" xr3:uid="{63689A78-F959-448E-9407-04DB9F48C647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956E4F9C-31A5-445F-8DD9-630C5079E2F7}" name="M_TABLE_23212" displayName="M_TABLE_23212" ref="B23:I43" totalsRowShown="0">
  <autoFilter ref="B23:I43" xr:uid="{956E4F9C-31A5-445F-8DD9-630C5079E2F7}"/>
  <tableColumns count="8">
    <tableColumn id="9" xr3:uid="{90308F55-45CC-43AF-96A6-9BB79EE5D9EE}" name="産業中分類上位２０"/>
    <tableColumn id="10" xr3:uid="{611270A0-D2E7-4C6C-A8BF-9782C787795A}" name="総数／事業所数" dataCellStyle="桁区切り"/>
    <tableColumn id="11" xr3:uid="{DD7FF91C-F45F-475B-B1F4-D38EC64C6682}" name="総数／構成比" dataDxfId="579"/>
    <tableColumn id="12" xr3:uid="{1A48682C-CEBD-427E-8289-A264D4233C14}" name="個人／事業所数" dataCellStyle="桁区切り"/>
    <tableColumn id="13" xr3:uid="{A8734A4B-CA56-47EA-A53A-77146C0E1FDE}" name="個人／構成比" dataDxfId="578"/>
    <tableColumn id="14" xr3:uid="{96AA0A85-C1AA-419B-93CD-635D05ED574E}" name="法人／事業所数" dataCellStyle="桁区切り"/>
    <tableColumn id="15" xr3:uid="{6AB3D1FD-6F93-48A7-A582-632C33922361}" name="法人／構成比" dataDxfId="577"/>
    <tableColumn id="16" xr3:uid="{184BF447-1847-419C-B105-6AA54647A47A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74400B0-64B8-4E69-AA65-AAF40D3CE248}" name="S_TABLE_23101" displayName="S_TABLE_23101" ref="B47:I67" totalsRowShown="0">
  <autoFilter ref="B47:I67" xr:uid="{274400B0-64B8-4E69-AA65-AAF40D3CE248}"/>
  <tableColumns count="8">
    <tableColumn id="9" xr3:uid="{03FC3896-0571-4AC9-9495-BC813A6586A7}" name="産業小分類上位２０"/>
    <tableColumn id="10" xr3:uid="{44E619B8-A9C0-4D51-B275-38A34CDDB671}" name="総数／事業所数" dataCellStyle="桁区切り"/>
    <tableColumn id="11" xr3:uid="{13D4572B-EBE4-4711-9B57-5A388FA24B49}" name="総数／構成比" dataDxfId="954"/>
    <tableColumn id="12" xr3:uid="{FD23BF89-E163-4C4C-9686-20846169656A}" name="個人／事業所数" dataCellStyle="桁区切り"/>
    <tableColumn id="13" xr3:uid="{CC44D7FB-871C-4C30-B17B-2B8DF8A941DB}" name="個人／構成比" dataDxfId="953"/>
    <tableColumn id="14" xr3:uid="{D5F368B8-6AFF-4890-8BBA-B9870DFDA0EF}" name="法人／事業所数" dataCellStyle="桁区切り"/>
    <tableColumn id="15" xr3:uid="{94DBBE7C-AC5C-49FE-9AA0-BF01BCE5CBF1}" name="法人／構成比" dataDxfId="952"/>
    <tableColumn id="16" xr3:uid="{30CA78CA-D653-49B1-9366-7F61033A1FC6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51011310-4794-42CE-885E-BAE779C02453}" name="S_TABLE_23212" displayName="S_TABLE_23212" ref="B46:I66" totalsRowShown="0">
  <autoFilter ref="B46:I66" xr:uid="{51011310-4794-42CE-885E-BAE779C02453}"/>
  <tableColumns count="8">
    <tableColumn id="9" xr3:uid="{28DCA632-A7D8-48C8-93DE-F65478302FB5}" name="産業小分類上位２０"/>
    <tableColumn id="10" xr3:uid="{CCEDCC01-9F71-494B-9826-B2399F7A7B49}" name="総数／事業所数" dataCellStyle="桁区切り"/>
    <tableColumn id="11" xr3:uid="{4A6C3CB5-44AD-4DD9-90F1-6C7A91906E23}" name="総数／構成比" dataDxfId="576"/>
    <tableColumn id="12" xr3:uid="{3EF72563-A3B2-4D79-994B-91EC3467F2FD}" name="個人／事業所数" dataCellStyle="桁区切り"/>
    <tableColumn id="13" xr3:uid="{16901FC2-6062-44E1-97ED-4288685BC1F2}" name="個人／構成比" dataDxfId="575"/>
    <tableColumn id="14" xr3:uid="{7201DEB0-830A-4D59-90C2-4780DA6CC64E}" name="法人／事業所数" dataCellStyle="桁区切り"/>
    <tableColumn id="15" xr3:uid="{C940E560-0FDB-4BE5-B4CA-6A6DDEF73904}" name="法人／構成比" dataDxfId="574"/>
    <tableColumn id="16" xr3:uid="{6AE098DA-C9FE-499E-BC60-BF8E48D98486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A20EAAB8-CA24-439C-B406-9BFC1F5C43FC}" name="LTBL_23213" displayName="LTBL_23213" ref="B4:I20" totalsRowCount="1">
  <autoFilter ref="B4:I19" xr:uid="{A20EAAB8-CA24-439C-B406-9BFC1F5C43FC}"/>
  <tableColumns count="8">
    <tableColumn id="9" xr3:uid="{51282B42-CD1B-472D-BF60-D3133EB5A02C}" name="産業大分類" totalsRowLabel="合計" totalsRowDxfId="573"/>
    <tableColumn id="10" xr3:uid="{E1BB95C1-E086-4A64-92A0-2875A41EB785}" name="総数／事業所数" totalsRowFunction="custom" totalsRowDxfId="572" dataCellStyle="桁区切り" totalsRowCellStyle="桁区切り">
      <totalsRowFormula>SUM(LTBL_23213[総数／事業所数])</totalsRowFormula>
    </tableColumn>
    <tableColumn id="11" xr3:uid="{EBB1CC23-A771-41DF-B76A-ABA0ABBFA233}" name="総数／構成比" dataDxfId="571"/>
    <tableColumn id="12" xr3:uid="{F24B5535-40D8-4CB4-A7AE-A2311B5DBF4F}" name="個人／事業所数" totalsRowFunction="sum" totalsRowDxfId="570" dataCellStyle="桁区切り" totalsRowCellStyle="桁区切り"/>
    <tableColumn id="13" xr3:uid="{9A6E11A5-7098-4D8E-A45F-43DD51FC647B}" name="個人／構成比" dataDxfId="569"/>
    <tableColumn id="14" xr3:uid="{705BE90A-BCB4-4DC4-B77F-218BEF16921B}" name="法人／事業所数" totalsRowFunction="sum" totalsRowDxfId="568" dataCellStyle="桁区切り" totalsRowCellStyle="桁区切り"/>
    <tableColumn id="15" xr3:uid="{D0D9F9C2-4B3E-4EA1-A8E6-9A1A19BA19B9}" name="法人／構成比" dataDxfId="567"/>
    <tableColumn id="16" xr3:uid="{5E6269F1-2EEC-4CFC-86B5-35E852AC5115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89E0EC49-1751-4401-81FC-AB4B632FA5AA}" name="M_TABLE_23213" displayName="M_TABLE_23213" ref="B23:I44" totalsRowShown="0">
  <autoFilter ref="B23:I44" xr:uid="{89E0EC49-1751-4401-81FC-AB4B632FA5AA}"/>
  <tableColumns count="8">
    <tableColumn id="9" xr3:uid="{3F38DF30-82A1-42F6-B0A3-450B4F2B4236}" name="産業中分類上位２０"/>
    <tableColumn id="10" xr3:uid="{36495384-A2FD-480F-A883-B39208CA7248}" name="総数／事業所数" dataCellStyle="桁区切り"/>
    <tableColumn id="11" xr3:uid="{E3044AC2-5931-45A8-BBBD-A1287AC6507A}" name="総数／構成比" dataDxfId="565"/>
    <tableColumn id="12" xr3:uid="{EDD52627-CD16-4D90-A1C2-F946166C9E03}" name="個人／事業所数" dataCellStyle="桁区切り"/>
    <tableColumn id="13" xr3:uid="{9A089AFC-0836-4A99-883B-E481DA3095FB}" name="個人／構成比" dataDxfId="564"/>
    <tableColumn id="14" xr3:uid="{16411770-9A20-4323-AD11-48632593A88C}" name="法人／事業所数" dataCellStyle="桁区切り"/>
    <tableColumn id="15" xr3:uid="{8ADA6D6A-540A-465F-953E-306C405358DF}" name="法人／構成比" dataDxfId="563"/>
    <tableColumn id="16" xr3:uid="{AAA139EE-917D-481B-A2AA-AC84F85A9BFE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499B139-8374-4C86-A6C0-0F22603B4586}" name="S_TABLE_23213" displayName="S_TABLE_23213" ref="B47:I68" totalsRowShown="0">
  <autoFilter ref="B47:I68" xr:uid="{A499B139-8374-4C86-A6C0-0F22603B4586}"/>
  <tableColumns count="8">
    <tableColumn id="9" xr3:uid="{22CADEF2-438D-4C94-A9D6-F96CE3D678C3}" name="産業小分類上位２０"/>
    <tableColumn id="10" xr3:uid="{91BEA7C2-CAE4-47B6-951C-DB2BCD095B2C}" name="総数／事業所数" dataCellStyle="桁区切り"/>
    <tableColumn id="11" xr3:uid="{83AE85DE-3325-4E39-AFED-DB2F0690E8EF}" name="総数／構成比" dataDxfId="562"/>
    <tableColumn id="12" xr3:uid="{DD9929B5-BB95-4E39-B309-FE5AA73541B9}" name="個人／事業所数" dataCellStyle="桁区切り"/>
    <tableColumn id="13" xr3:uid="{C4650C2E-F88B-4DFF-8147-4E4ED5859EE7}" name="個人／構成比" dataDxfId="561"/>
    <tableColumn id="14" xr3:uid="{748A4BBC-E08B-487D-91EF-642F8BA260AD}" name="法人／事業所数" dataCellStyle="桁区切り"/>
    <tableColumn id="15" xr3:uid="{05BDEE93-E6DF-46EC-A370-8E1702BFF957}" name="法人／構成比" dataDxfId="560"/>
    <tableColumn id="16" xr3:uid="{B0C6FFC9-BFA8-492D-BB00-F8FCBCDCB5EE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98FB0403-1F1A-4462-A43F-413B31D2283A}" name="LTBL_23214" displayName="LTBL_23214" ref="B4:I20" totalsRowCount="1">
  <autoFilter ref="B4:I19" xr:uid="{98FB0403-1F1A-4462-A43F-413B31D2283A}"/>
  <tableColumns count="8">
    <tableColumn id="9" xr3:uid="{D7FE0959-B7BC-4199-92A8-7CB378BE1425}" name="産業大分類" totalsRowLabel="合計" totalsRowDxfId="559"/>
    <tableColumn id="10" xr3:uid="{C11BFE86-BD54-4171-AC1D-0D53398DE7ED}" name="総数／事業所数" totalsRowFunction="custom" totalsRowDxfId="558" dataCellStyle="桁区切り" totalsRowCellStyle="桁区切り">
      <totalsRowFormula>SUM(LTBL_23214[総数／事業所数])</totalsRowFormula>
    </tableColumn>
    <tableColumn id="11" xr3:uid="{6BB383A2-4F37-4841-B48C-A1555C672E3E}" name="総数／構成比" dataDxfId="557"/>
    <tableColumn id="12" xr3:uid="{29C97883-8A62-4241-87B6-8623EC5E7636}" name="個人／事業所数" totalsRowFunction="sum" totalsRowDxfId="556" dataCellStyle="桁区切り" totalsRowCellStyle="桁区切り"/>
    <tableColumn id="13" xr3:uid="{55340AA6-9344-4BE3-8C51-7C2E866D92F1}" name="個人／構成比" dataDxfId="555"/>
    <tableColumn id="14" xr3:uid="{FDE34557-B9C5-4590-A304-A6E5F3D1BD86}" name="法人／事業所数" totalsRowFunction="sum" totalsRowDxfId="554" dataCellStyle="桁区切り" totalsRowCellStyle="桁区切り"/>
    <tableColumn id="15" xr3:uid="{45339F67-DEB1-4C3B-9352-281589CC3A99}" name="法人／構成比" dataDxfId="553"/>
    <tableColumn id="16" xr3:uid="{C7F431F1-6941-4C91-98CF-DC00B4AEECDF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35A29F94-0850-4C22-A216-9F8D7A49B077}" name="M_TABLE_23214" displayName="M_TABLE_23214" ref="B23:I43" totalsRowShown="0">
  <autoFilter ref="B23:I43" xr:uid="{35A29F94-0850-4C22-A216-9F8D7A49B077}"/>
  <tableColumns count="8">
    <tableColumn id="9" xr3:uid="{7CF1E028-D3B0-474C-8FE0-4A8765A5ED45}" name="産業中分類上位２０"/>
    <tableColumn id="10" xr3:uid="{0E84DB99-B728-4313-A922-ECF47D7D017C}" name="総数／事業所数" dataCellStyle="桁区切り"/>
    <tableColumn id="11" xr3:uid="{5BDCEE75-9D04-4280-8126-789F12A94CC2}" name="総数／構成比" dataDxfId="551"/>
    <tableColumn id="12" xr3:uid="{789FC5BA-3F13-42DE-929C-4F416595C34E}" name="個人／事業所数" dataCellStyle="桁区切り"/>
    <tableColumn id="13" xr3:uid="{7CF068D8-ACEB-4CEA-B660-DDAF10E79E53}" name="個人／構成比" dataDxfId="550"/>
    <tableColumn id="14" xr3:uid="{CDDD917C-F46D-4149-A4EF-A923ED1FD342}" name="法人／事業所数" dataCellStyle="桁区切り"/>
    <tableColumn id="15" xr3:uid="{CE41DD17-8272-45F7-BC5D-08E4CAE2E40C}" name="法人／構成比" dataDxfId="549"/>
    <tableColumn id="16" xr3:uid="{21876A64-B8F5-44C6-93A0-F5C58E2B9D5F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43E0259-7E62-4EF3-86F9-B7AB3C063F4F}" name="S_TABLE_23214" displayName="S_TABLE_23214" ref="B46:I66" totalsRowShown="0">
  <autoFilter ref="B46:I66" xr:uid="{043E0259-7E62-4EF3-86F9-B7AB3C063F4F}"/>
  <tableColumns count="8">
    <tableColumn id="9" xr3:uid="{5510511F-8C68-4D75-8C6A-481CFF9C9EC3}" name="産業小分類上位２０"/>
    <tableColumn id="10" xr3:uid="{F8E386BC-85F9-487B-B105-3A7C81F6E940}" name="総数／事業所数" dataCellStyle="桁区切り"/>
    <tableColumn id="11" xr3:uid="{EE287002-79D0-4E4E-9624-14F852EB4974}" name="総数／構成比" dataDxfId="548"/>
    <tableColumn id="12" xr3:uid="{26E8179D-A48F-4478-9A42-94C9DA4152D8}" name="個人／事業所数" dataCellStyle="桁区切り"/>
    <tableColumn id="13" xr3:uid="{8A4BA769-C430-436E-9804-FD2D73C95427}" name="個人／構成比" dataDxfId="547"/>
    <tableColumn id="14" xr3:uid="{C02EC811-4B5E-462F-93EC-C11984EAB680}" name="法人／事業所数" dataCellStyle="桁区切り"/>
    <tableColumn id="15" xr3:uid="{B7D71692-3196-4AB7-932B-0F854D77E160}" name="法人／構成比" dataDxfId="546"/>
    <tableColumn id="16" xr3:uid="{BD1A371E-03AC-4916-B6C1-0D7AAA4F271E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C314905A-ACDB-4661-97A3-FFC6D36157BF}" name="LTBL_23215" displayName="LTBL_23215" ref="B4:I20" totalsRowCount="1">
  <autoFilter ref="B4:I19" xr:uid="{C314905A-ACDB-4661-97A3-FFC6D36157BF}"/>
  <tableColumns count="8">
    <tableColumn id="9" xr3:uid="{4BDD01FC-63C2-4EFC-B949-5902165B7EFC}" name="産業大分類" totalsRowLabel="合計" totalsRowDxfId="545"/>
    <tableColumn id="10" xr3:uid="{D9F190F0-B9CE-4D31-9664-DDF2A4D9D158}" name="総数／事業所数" totalsRowFunction="custom" totalsRowDxfId="544" dataCellStyle="桁区切り" totalsRowCellStyle="桁区切り">
      <totalsRowFormula>SUM(LTBL_23215[総数／事業所数])</totalsRowFormula>
    </tableColumn>
    <tableColumn id="11" xr3:uid="{2183AD57-9F38-4D67-93D4-5B906CC72137}" name="総数／構成比" dataDxfId="543"/>
    <tableColumn id="12" xr3:uid="{70C0EE44-E164-48BF-8114-D62CD929FC52}" name="個人／事業所数" totalsRowFunction="sum" totalsRowDxfId="542" dataCellStyle="桁区切り" totalsRowCellStyle="桁区切り"/>
    <tableColumn id="13" xr3:uid="{8513B1A5-D329-4932-A07A-AD1D0EA72E31}" name="個人／構成比" dataDxfId="541"/>
    <tableColumn id="14" xr3:uid="{386F691D-CA04-4A1F-A8B4-AC88D0E25A11}" name="法人／事業所数" totalsRowFunction="sum" totalsRowDxfId="540" dataCellStyle="桁区切り" totalsRowCellStyle="桁区切り"/>
    <tableColumn id="15" xr3:uid="{11E02935-B0FB-4C90-9622-99E9697770C7}" name="法人／構成比" dataDxfId="539"/>
    <tableColumn id="16" xr3:uid="{2B7CE1F7-42F3-496A-8B0F-B8FEBFA3331B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31E831A-6826-4FAA-A770-13C6897FE2B1}" name="M_TABLE_23215" displayName="M_TABLE_23215" ref="B23:I43" totalsRowShown="0">
  <autoFilter ref="B23:I43" xr:uid="{131E831A-6826-4FAA-A770-13C6897FE2B1}"/>
  <tableColumns count="8">
    <tableColumn id="9" xr3:uid="{6B19491F-FBD3-4F45-9423-0D5A70267AD2}" name="産業中分類上位２０"/>
    <tableColumn id="10" xr3:uid="{8594C06A-0149-4A84-AB9E-0A211D77F922}" name="総数／事業所数" dataCellStyle="桁区切り"/>
    <tableColumn id="11" xr3:uid="{88FF886A-465E-443B-8B77-21E6FABF0716}" name="総数／構成比" dataDxfId="537"/>
    <tableColumn id="12" xr3:uid="{1528FC15-2652-4923-97E4-1BE19BC47FFA}" name="個人／事業所数" dataCellStyle="桁区切り"/>
    <tableColumn id="13" xr3:uid="{F372F574-CEAC-4629-9B2F-EB2308C4B581}" name="個人／構成比" dataDxfId="536"/>
    <tableColumn id="14" xr3:uid="{0F11B2E0-C6B1-4A7E-AC83-0DDCC1009ECB}" name="法人／事業所数" dataCellStyle="桁区切り"/>
    <tableColumn id="15" xr3:uid="{9BBA2BAF-F9A8-4DDD-BA2B-CB42BDD0CA5C}" name="法人／構成比" dataDxfId="535"/>
    <tableColumn id="16" xr3:uid="{E0D4FB94-DE31-4CCE-8217-795B5D175892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3B11DECC-D875-46BF-8B06-23A8FC02E7F6}" name="S_TABLE_23215" displayName="S_TABLE_23215" ref="B46:I67" totalsRowShown="0">
  <autoFilter ref="B46:I67" xr:uid="{3B11DECC-D875-46BF-8B06-23A8FC02E7F6}"/>
  <tableColumns count="8">
    <tableColumn id="9" xr3:uid="{9213B495-F54D-42C4-95F3-07D8D4909BB9}" name="産業小分類上位２０"/>
    <tableColumn id="10" xr3:uid="{DC310271-FDBA-4963-B951-8B21E22FA5FC}" name="総数／事業所数" dataCellStyle="桁区切り"/>
    <tableColumn id="11" xr3:uid="{45D07346-6C26-4B4B-B14F-2715D959C20A}" name="総数／構成比" dataDxfId="534"/>
    <tableColumn id="12" xr3:uid="{69D1A02A-4FA2-46FA-9F1C-BAE291FB8FB6}" name="個人／事業所数" dataCellStyle="桁区切り"/>
    <tableColumn id="13" xr3:uid="{3B3E8B5E-9F3B-481C-81CF-5447E70B0977}" name="個人／構成比" dataDxfId="533"/>
    <tableColumn id="14" xr3:uid="{8106AA42-737F-400C-8345-086FEE054AD2}" name="法人／事業所数" dataCellStyle="桁区切り"/>
    <tableColumn id="15" xr3:uid="{892E43B8-0A8F-42C4-8035-132580A78836}" name="法人／構成比" dataDxfId="532"/>
    <tableColumn id="16" xr3:uid="{7B247218-AAD0-4369-A432-A3EC687D0592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64.bin"/><Relationship Id="rId4" Type="http://schemas.openxmlformats.org/officeDocument/2006/relationships/table" Target="../tables/table18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5.xml"/><Relationship Id="rId2" Type="http://schemas.openxmlformats.org/officeDocument/2006/relationships/table" Target="../tables/table184.xml"/><Relationship Id="rId1" Type="http://schemas.openxmlformats.org/officeDocument/2006/relationships/printerSettings" Target="../printerSettings/printerSettings65.bin"/><Relationship Id="rId4" Type="http://schemas.openxmlformats.org/officeDocument/2006/relationships/table" Target="../tables/table186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8.xml"/><Relationship Id="rId2" Type="http://schemas.openxmlformats.org/officeDocument/2006/relationships/table" Target="../tables/table187.xml"/><Relationship Id="rId1" Type="http://schemas.openxmlformats.org/officeDocument/2006/relationships/printerSettings" Target="../printerSettings/printerSettings66.bin"/><Relationship Id="rId4" Type="http://schemas.openxmlformats.org/officeDocument/2006/relationships/table" Target="../tables/table189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1.xml"/><Relationship Id="rId2" Type="http://schemas.openxmlformats.org/officeDocument/2006/relationships/table" Target="../tables/table190.xml"/><Relationship Id="rId1" Type="http://schemas.openxmlformats.org/officeDocument/2006/relationships/printerSettings" Target="../printerSettings/printerSettings67.bin"/><Relationship Id="rId4" Type="http://schemas.openxmlformats.org/officeDocument/2006/relationships/table" Target="../tables/table192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68.bin"/><Relationship Id="rId4" Type="http://schemas.openxmlformats.org/officeDocument/2006/relationships/table" Target="../tables/table19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7.xml"/><Relationship Id="rId2" Type="http://schemas.openxmlformats.org/officeDocument/2006/relationships/table" Target="../tables/table196.xml"/><Relationship Id="rId1" Type="http://schemas.openxmlformats.org/officeDocument/2006/relationships/printerSettings" Target="../printerSettings/printerSettings69.bin"/><Relationship Id="rId4" Type="http://schemas.openxmlformats.org/officeDocument/2006/relationships/table" Target="../tables/table198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0.xml"/><Relationship Id="rId2" Type="http://schemas.openxmlformats.org/officeDocument/2006/relationships/table" Target="../tables/table199.xml"/><Relationship Id="rId1" Type="http://schemas.openxmlformats.org/officeDocument/2006/relationships/printerSettings" Target="../printerSettings/printerSettings70.bin"/><Relationship Id="rId4" Type="http://schemas.openxmlformats.org/officeDocument/2006/relationships/table" Target="../tables/table201.xm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3.xml"/><Relationship Id="rId2" Type="http://schemas.openxmlformats.org/officeDocument/2006/relationships/table" Target="../tables/table202.xml"/><Relationship Id="rId1" Type="http://schemas.openxmlformats.org/officeDocument/2006/relationships/printerSettings" Target="../printerSettings/printerSettings71.bin"/><Relationship Id="rId4" Type="http://schemas.openxmlformats.org/officeDocument/2006/relationships/table" Target="../tables/table204.xm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72.bin"/><Relationship Id="rId4" Type="http://schemas.openxmlformats.org/officeDocument/2006/relationships/table" Target="../tables/table207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9.xml"/><Relationship Id="rId2" Type="http://schemas.openxmlformats.org/officeDocument/2006/relationships/table" Target="../tables/table208.xml"/><Relationship Id="rId1" Type="http://schemas.openxmlformats.org/officeDocument/2006/relationships/printerSettings" Target="../printerSettings/printerSettings73.bin"/><Relationship Id="rId4" Type="http://schemas.openxmlformats.org/officeDocument/2006/relationships/table" Target="../tables/table210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2.xml"/><Relationship Id="rId2" Type="http://schemas.openxmlformats.org/officeDocument/2006/relationships/table" Target="../tables/table211.xml"/><Relationship Id="rId1" Type="http://schemas.openxmlformats.org/officeDocument/2006/relationships/printerSettings" Target="../printerSettings/printerSettings74.bin"/><Relationship Id="rId4" Type="http://schemas.openxmlformats.org/officeDocument/2006/relationships/table" Target="../tables/table2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758A-DDD9-44A9-8519-84E57843B224}">
  <dimension ref="A1:B75"/>
  <sheetViews>
    <sheetView tabSelected="1" workbookViewId="0"/>
  </sheetViews>
  <sheetFormatPr defaultRowHeight="13.2" x14ac:dyDescent="0.2"/>
  <sheetData>
    <row r="1" spans="1:2" x14ac:dyDescent="0.2">
      <c r="A1" t="s">
        <v>422</v>
      </c>
    </row>
    <row r="2" spans="1:2" x14ac:dyDescent="0.2">
      <c r="B2" s="13" t="s">
        <v>276</v>
      </c>
    </row>
    <row r="3" spans="1:2" x14ac:dyDescent="0.2">
      <c r="B3" s="13" t="s">
        <v>151</v>
      </c>
    </row>
    <row r="4" spans="1:2" x14ac:dyDescent="0.2">
      <c r="B4" s="13" t="s">
        <v>274</v>
      </c>
    </row>
    <row r="5" spans="1:2" x14ac:dyDescent="0.2">
      <c r="B5" s="13" t="s">
        <v>351</v>
      </c>
    </row>
    <row r="6" spans="1:2" x14ac:dyDescent="0.2">
      <c r="B6" s="13" t="s">
        <v>352</v>
      </c>
    </row>
    <row r="7" spans="1:2" x14ac:dyDescent="0.2">
      <c r="B7" s="13" t="s">
        <v>353</v>
      </c>
    </row>
    <row r="8" spans="1:2" x14ac:dyDescent="0.2">
      <c r="B8" s="13" t="s">
        <v>354</v>
      </c>
    </row>
    <row r="9" spans="1:2" x14ac:dyDescent="0.2">
      <c r="B9" s="13" t="s">
        <v>355</v>
      </c>
    </row>
    <row r="10" spans="1:2" x14ac:dyDescent="0.2">
      <c r="B10" s="13" t="s">
        <v>356</v>
      </c>
    </row>
    <row r="11" spans="1:2" x14ac:dyDescent="0.2">
      <c r="B11" s="13" t="s">
        <v>357</v>
      </c>
    </row>
    <row r="12" spans="1:2" x14ac:dyDescent="0.2">
      <c r="B12" s="13" t="s">
        <v>358</v>
      </c>
    </row>
    <row r="13" spans="1:2" x14ac:dyDescent="0.2">
      <c r="B13" s="13" t="s">
        <v>359</v>
      </c>
    </row>
    <row r="14" spans="1:2" x14ac:dyDescent="0.2">
      <c r="B14" s="13" t="s">
        <v>360</v>
      </c>
    </row>
    <row r="15" spans="1:2" x14ac:dyDescent="0.2">
      <c r="B15" s="13" t="s">
        <v>361</v>
      </c>
    </row>
    <row r="16" spans="1:2" x14ac:dyDescent="0.2">
      <c r="B16" s="13" t="s">
        <v>362</v>
      </c>
    </row>
    <row r="17" spans="2:2" x14ac:dyDescent="0.2">
      <c r="B17" s="13" t="s">
        <v>363</v>
      </c>
    </row>
    <row r="18" spans="2:2" x14ac:dyDescent="0.2">
      <c r="B18" s="13" t="s">
        <v>364</v>
      </c>
    </row>
    <row r="19" spans="2:2" x14ac:dyDescent="0.2">
      <c r="B19" s="13" t="s">
        <v>365</v>
      </c>
    </row>
    <row r="20" spans="2:2" x14ac:dyDescent="0.2">
      <c r="B20" s="13" t="s">
        <v>366</v>
      </c>
    </row>
    <row r="21" spans="2:2" x14ac:dyDescent="0.2">
      <c r="B21" s="13" t="s">
        <v>367</v>
      </c>
    </row>
    <row r="22" spans="2:2" x14ac:dyDescent="0.2">
      <c r="B22" s="13" t="s">
        <v>368</v>
      </c>
    </row>
    <row r="23" spans="2:2" x14ac:dyDescent="0.2">
      <c r="B23" s="13" t="s">
        <v>369</v>
      </c>
    </row>
    <row r="24" spans="2:2" x14ac:dyDescent="0.2">
      <c r="B24" s="13" t="s">
        <v>370</v>
      </c>
    </row>
    <row r="25" spans="2:2" x14ac:dyDescent="0.2">
      <c r="B25" s="13" t="s">
        <v>371</v>
      </c>
    </row>
    <row r="26" spans="2:2" x14ac:dyDescent="0.2">
      <c r="B26" s="13" t="s">
        <v>372</v>
      </c>
    </row>
    <row r="27" spans="2:2" x14ac:dyDescent="0.2">
      <c r="B27" s="13" t="s">
        <v>373</v>
      </c>
    </row>
    <row r="28" spans="2:2" x14ac:dyDescent="0.2">
      <c r="B28" s="13" t="s">
        <v>374</v>
      </c>
    </row>
    <row r="29" spans="2:2" x14ac:dyDescent="0.2">
      <c r="B29" s="13" t="s">
        <v>375</v>
      </c>
    </row>
    <row r="30" spans="2:2" x14ac:dyDescent="0.2">
      <c r="B30" s="13" t="s">
        <v>376</v>
      </c>
    </row>
    <row r="31" spans="2:2" x14ac:dyDescent="0.2">
      <c r="B31" s="13" t="s">
        <v>377</v>
      </c>
    </row>
    <row r="32" spans="2:2" x14ac:dyDescent="0.2">
      <c r="B32" s="13" t="s">
        <v>378</v>
      </c>
    </row>
    <row r="33" spans="2:2" x14ac:dyDescent="0.2">
      <c r="B33" s="13" t="s">
        <v>379</v>
      </c>
    </row>
    <row r="34" spans="2:2" x14ac:dyDescent="0.2">
      <c r="B34" s="13" t="s">
        <v>380</v>
      </c>
    </row>
    <row r="35" spans="2:2" x14ac:dyDescent="0.2">
      <c r="B35" s="13" t="s">
        <v>381</v>
      </c>
    </row>
    <row r="36" spans="2:2" x14ac:dyDescent="0.2">
      <c r="B36" s="13" t="s">
        <v>382</v>
      </c>
    </row>
    <row r="37" spans="2:2" x14ac:dyDescent="0.2">
      <c r="B37" s="13" t="s">
        <v>383</v>
      </c>
    </row>
    <row r="38" spans="2:2" x14ac:dyDescent="0.2">
      <c r="B38" s="13" t="s">
        <v>384</v>
      </c>
    </row>
    <row r="39" spans="2:2" x14ac:dyDescent="0.2">
      <c r="B39" s="13" t="s">
        <v>385</v>
      </c>
    </row>
    <row r="40" spans="2:2" x14ac:dyDescent="0.2">
      <c r="B40" s="13" t="s">
        <v>386</v>
      </c>
    </row>
    <row r="41" spans="2:2" x14ac:dyDescent="0.2">
      <c r="B41" s="13" t="s">
        <v>387</v>
      </c>
    </row>
    <row r="42" spans="2:2" x14ac:dyDescent="0.2">
      <c r="B42" s="13" t="s">
        <v>388</v>
      </c>
    </row>
    <row r="43" spans="2:2" x14ac:dyDescent="0.2">
      <c r="B43" s="13" t="s">
        <v>389</v>
      </c>
    </row>
    <row r="44" spans="2:2" x14ac:dyDescent="0.2">
      <c r="B44" s="13" t="s">
        <v>390</v>
      </c>
    </row>
    <row r="45" spans="2:2" x14ac:dyDescent="0.2">
      <c r="B45" s="13" t="s">
        <v>391</v>
      </c>
    </row>
    <row r="46" spans="2:2" x14ac:dyDescent="0.2">
      <c r="B46" s="13" t="s">
        <v>392</v>
      </c>
    </row>
    <row r="47" spans="2:2" x14ac:dyDescent="0.2">
      <c r="B47" s="13" t="s">
        <v>393</v>
      </c>
    </row>
    <row r="48" spans="2:2" x14ac:dyDescent="0.2">
      <c r="B48" s="13" t="s">
        <v>394</v>
      </c>
    </row>
    <row r="49" spans="2:2" x14ac:dyDescent="0.2">
      <c r="B49" s="13" t="s">
        <v>395</v>
      </c>
    </row>
    <row r="50" spans="2:2" x14ac:dyDescent="0.2">
      <c r="B50" s="13" t="s">
        <v>396</v>
      </c>
    </row>
    <row r="51" spans="2:2" x14ac:dyDescent="0.2">
      <c r="B51" s="13" t="s">
        <v>397</v>
      </c>
    </row>
    <row r="52" spans="2:2" x14ac:dyDescent="0.2">
      <c r="B52" s="13" t="s">
        <v>398</v>
      </c>
    </row>
    <row r="53" spans="2:2" x14ac:dyDescent="0.2">
      <c r="B53" s="13" t="s">
        <v>399</v>
      </c>
    </row>
    <row r="54" spans="2:2" x14ac:dyDescent="0.2">
      <c r="B54" s="13" t="s">
        <v>400</v>
      </c>
    </row>
    <row r="55" spans="2:2" x14ac:dyDescent="0.2">
      <c r="B55" s="13" t="s">
        <v>401</v>
      </c>
    </row>
    <row r="56" spans="2:2" x14ac:dyDescent="0.2">
      <c r="B56" s="13" t="s">
        <v>402</v>
      </c>
    </row>
    <row r="57" spans="2:2" x14ac:dyDescent="0.2">
      <c r="B57" s="13" t="s">
        <v>403</v>
      </c>
    </row>
    <row r="58" spans="2:2" x14ac:dyDescent="0.2">
      <c r="B58" s="13" t="s">
        <v>404</v>
      </c>
    </row>
    <row r="59" spans="2:2" x14ac:dyDescent="0.2">
      <c r="B59" s="13" t="s">
        <v>405</v>
      </c>
    </row>
    <row r="60" spans="2:2" x14ac:dyDescent="0.2">
      <c r="B60" s="13" t="s">
        <v>406</v>
      </c>
    </row>
    <row r="61" spans="2:2" x14ac:dyDescent="0.2">
      <c r="B61" s="13" t="s">
        <v>407</v>
      </c>
    </row>
    <row r="62" spans="2:2" x14ac:dyDescent="0.2">
      <c r="B62" s="13" t="s">
        <v>408</v>
      </c>
    </row>
    <row r="63" spans="2:2" x14ac:dyDescent="0.2">
      <c r="B63" s="13" t="s">
        <v>409</v>
      </c>
    </row>
    <row r="64" spans="2:2" x14ac:dyDescent="0.2">
      <c r="B64" s="13" t="s">
        <v>410</v>
      </c>
    </row>
    <row r="65" spans="2:2" x14ac:dyDescent="0.2">
      <c r="B65" s="13" t="s">
        <v>411</v>
      </c>
    </row>
    <row r="66" spans="2:2" x14ac:dyDescent="0.2">
      <c r="B66" s="13" t="s">
        <v>412</v>
      </c>
    </row>
    <row r="67" spans="2:2" x14ac:dyDescent="0.2">
      <c r="B67" s="13" t="s">
        <v>413</v>
      </c>
    </row>
    <row r="68" spans="2:2" x14ac:dyDescent="0.2">
      <c r="B68" s="13" t="s">
        <v>414</v>
      </c>
    </row>
    <row r="69" spans="2:2" x14ac:dyDescent="0.2">
      <c r="B69" s="13" t="s">
        <v>415</v>
      </c>
    </row>
    <row r="70" spans="2:2" x14ac:dyDescent="0.2">
      <c r="B70" s="13" t="s">
        <v>416</v>
      </c>
    </row>
    <row r="71" spans="2:2" x14ac:dyDescent="0.2">
      <c r="B71" s="13" t="s">
        <v>417</v>
      </c>
    </row>
    <row r="72" spans="2:2" x14ac:dyDescent="0.2">
      <c r="B72" s="13" t="s">
        <v>418</v>
      </c>
    </row>
    <row r="73" spans="2:2" x14ac:dyDescent="0.2">
      <c r="B73" s="13" t="s">
        <v>419</v>
      </c>
    </row>
    <row r="74" spans="2:2" x14ac:dyDescent="0.2">
      <c r="B74" s="13" t="s">
        <v>420</v>
      </c>
    </row>
    <row r="75" spans="2:2" x14ac:dyDescent="0.2">
      <c r="B75" s="13" t="s">
        <v>421</v>
      </c>
    </row>
  </sheetData>
  <phoneticPr fontId="1"/>
  <hyperlinks>
    <hyperlink ref="B2" location="'産業大分類'!a1" display="産業大分類" xr:uid="{9C14B6FD-D6C4-4579-923E-65936020678A}"/>
    <hyperlink ref="B3" location="'産業中分類'!a1" display="産業中分類" xr:uid="{4A656DE2-295E-41E7-B2F1-8A506A9C17E4}"/>
    <hyperlink ref="B4" location="'産業小分類'!a1" display="産業小分類" xr:uid="{9500FDAD-3011-40A2-BB49-7ABB0D6D62AA}"/>
    <hyperlink ref="B5" location="'愛知県'!a1" display="愛知県" xr:uid="{95A73968-DB10-44F2-9415-B1AB23805B72}"/>
    <hyperlink ref="B6" location="'名古屋市'!a1" display="名古屋市" xr:uid="{BD9EF105-10D0-4445-8C1D-E23DE39A856E}"/>
    <hyperlink ref="B7" location="'名古屋市千種区'!a1" display="名古屋市千種区" xr:uid="{E6E76014-933E-441B-A5EA-03DD4DCFEFB2}"/>
    <hyperlink ref="B8" location="'名古屋市東区'!a1" display="名古屋市東区" xr:uid="{7D1567AB-5CFB-4819-92B8-C6C9E6F1639C}"/>
    <hyperlink ref="B9" location="'名古屋市北区'!a1" display="名古屋市北区" xr:uid="{4F036240-DFD6-4EA0-BB57-1914D8BEE8DA}"/>
    <hyperlink ref="B10" location="'名古屋市西区'!a1" display="名古屋市西区" xr:uid="{66138C7B-79A5-4D0B-AA1F-9FC87A9104EE}"/>
    <hyperlink ref="B11" location="'名古屋市中村区'!a1" display="名古屋市中村区" xr:uid="{476B1F70-ADF5-497D-BE78-596818ACDCBB}"/>
    <hyperlink ref="B12" location="'名古屋市中区'!a1" display="名古屋市中区" xr:uid="{4CF926D0-30DC-4351-B301-0DE9B431FC09}"/>
    <hyperlink ref="B13" location="'名古屋市昭和区'!a1" display="名古屋市昭和区" xr:uid="{EDE33A0C-4B61-4CF9-87E6-030EFE3C9069}"/>
    <hyperlink ref="B14" location="'名古屋市瑞穂区'!a1" display="名古屋市瑞穂区" xr:uid="{C10BCF9F-DD41-497D-B723-C95CADC17FCA}"/>
    <hyperlink ref="B15" location="'名古屋市熱田区'!a1" display="名古屋市熱田区" xr:uid="{8FB25EE1-4B29-462D-A71C-C6DE1AF0B3BA}"/>
    <hyperlink ref="B16" location="'名古屋市中川区'!a1" display="名古屋市中川区" xr:uid="{2E3A5472-80D4-4BA5-A805-DC1FA81543ED}"/>
    <hyperlink ref="B17" location="'名古屋市港区'!a1" display="名古屋市港区" xr:uid="{26DA02EF-9E45-408F-A2CC-FAD73ABC3680}"/>
    <hyperlink ref="B18" location="'名古屋市南区'!a1" display="名古屋市南区" xr:uid="{53C1E211-E2E5-40A3-AE0F-319935397FD1}"/>
    <hyperlink ref="B19" location="'名古屋市守山区'!a1" display="名古屋市守山区" xr:uid="{02116E36-AE6F-4691-B4D7-75C9D403A821}"/>
    <hyperlink ref="B20" location="'名古屋市緑区'!a1" display="名古屋市緑区" xr:uid="{5BE213C2-3CAF-44CC-8ED6-19E4F6356D0E}"/>
    <hyperlink ref="B21" location="'名古屋市名東区'!a1" display="名古屋市名東区" xr:uid="{6411D2FE-C713-4CEE-AE13-7E6279BBB1CD}"/>
    <hyperlink ref="B22" location="'名古屋市天白区'!a1" display="名古屋市天白区" xr:uid="{C5A8AD93-17AD-42C2-AA85-5363A3D68C07}"/>
    <hyperlink ref="B23" location="'豊橋市'!a1" display="豊橋市" xr:uid="{03E52E81-1B56-4C7F-AACF-830FB1BD0E5B}"/>
    <hyperlink ref="B24" location="'岡崎市'!a1" display="岡崎市" xr:uid="{65C0F69C-61FD-4695-A8B0-537AF9A81B21}"/>
    <hyperlink ref="B25" location="'一宮市'!a1" display="一宮市" xr:uid="{529D39D4-C792-47A4-86AC-59C9325B1F04}"/>
    <hyperlink ref="B26" location="'瀬戸市'!a1" display="瀬戸市" xr:uid="{44D65B14-97F2-4348-B327-6B1B0EFF3F49}"/>
    <hyperlink ref="B27" location="'半田市'!a1" display="半田市" xr:uid="{E2DC6E68-A099-4D55-B041-7993B4941544}"/>
    <hyperlink ref="B28" location="'春日井市'!a1" display="春日井市" xr:uid="{71C3FCBB-D1FD-4DB4-A649-9BB6982C8490}"/>
    <hyperlink ref="B29" location="'豊川市'!a1" display="豊川市" xr:uid="{2E193E30-5815-4C10-BF78-8EE1215A15EE}"/>
    <hyperlink ref="B30" location="'津島市'!a1" display="津島市" xr:uid="{61538720-53E5-431E-A96A-8979F4DC1856}"/>
    <hyperlink ref="B31" location="'碧南市'!a1" display="碧南市" xr:uid="{202ED790-68CE-48FF-8DE4-B95AD75272A7}"/>
    <hyperlink ref="B32" location="'刈谷市'!a1" display="刈谷市" xr:uid="{21118BB1-AE9F-4D59-854C-3694ABA6DE1E}"/>
    <hyperlink ref="B33" location="'豊田市'!a1" display="豊田市" xr:uid="{E2BBA121-9DAD-47F5-83C9-367AE8573245}"/>
    <hyperlink ref="B34" location="'安城市'!a1" display="安城市" xr:uid="{5C1705DD-CCF6-4A0A-BBEF-CF9B775C20E8}"/>
    <hyperlink ref="B35" location="'西尾市'!a1" display="西尾市" xr:uid="{55E43F0A-5009-4A09-8751-88E7A0E2C4D1}"/>
    <hyperlink ref="B36" location="'蒲郡市'!a1" display="蒲郡市" xr:uid="{34F0DB44-1F5D-4B1E-A80A-60972725C214}"/>
    <hyperlink ref="B37" location="'犬山市'!a1" display="犬山市" xr:uid="{4D3A2A7A-14AD-44F0-B8CB-CA2F384857B0}"/>
    <hyperlink ref="B38" location="'常滑市'!a1" display="常滑市" xr:uid="{4249EAA6-68EA-47FB-BC24-B867033C78F3}"/>
    <hyperlink ref="B39" location="'江南市'!a1" display="江南市" xr:uid="{E779EBE1-FD5F-4B10-80E1-F9489F6342A3}"/>
    <hyperlink ref="B40" location="'小牧市'!a1" display="小牧市" xr:uid="{E90BE56A-22BF-4684-ADAA-2C069589C18D}"/>
    <hyperlink ref="B41" location="'稲沢市'!a1" display="稲沢市" xr:uid="{B7402FDA-1056-43D8-8FC2-28178B3C656A}"/>
    <hyperlink ref="B42" location="'新城市'!a1" display="新城市" xr:uid="{3712195C-4230-45AC-B596-21466C84733F}"/>
    <hyperlink ref="B43" location="'東海市'!a1" display="東海市" xr:uid="{D0747E7D-C2AF-4340-9CAF-B8944E1F772A}"/>
    <hyperlink ref="B44" location="'大府市'!a1" display="大府市" xr:uid="{BA10F856-DF2A-441A-A89A-7D0D67D5E84D}"/>
    <hyperlink ref="B45" location="'知多市'!a1" display="知多市" xr:uid="{C4AB569A-7651-4A45-AF00-DA8EFE3F80D3}"/>
    <hyperlink ref="B46" location="'知立市'!a1" display="知立市" xr:uid="{5F0FB8EA-A4BF-4AB2-B59E-C04C8CB67C97}"/>
    <hyperlink ref="B47" location="'尾張旭市'!a1" display="尾張旭市" xr:uid="{9C94AF68-8FBA-457A-BFAB-7DBFED35A44D}"/>
    <hyperlink ref="B48" location="'高浜市'!a1" display="高浜市" xr:uid="{21146C91-7E5F-4C42-8153-DE02A473CD21}"/>
    <hyperlink ref="B49" location="'岩倉市'!a1" display="岩倉市" xr:uid="{9CD3D31A-28D2-480D-AD9D-249C5FA9F821}"/>
    <hyperlink ref="B50" location="'豊明市'!a1" display="豊明市" xr:uid="{A535A69F-3D1C-45B8-B5FE-540D748C18EF}"/>
    <hyperlink ref="B51" location="'日進市'!a1" display="日進市" xr:uid="{92E5F156-1CC7-4CEB-8516-51904902AACF}"/>
    <hyperlink ref="B52" location="'田原市'!a1" display="田原市" xr:uid="{531337CE-5C5D-42F5-8128-C9071BB19DF3}"/>
    <hyperlink ref="B53" location="'愛西市'!a1" display="愛西市" xr:uid="{A357BA0A-7D63-4592-986E-4DD44CDD7D99}"/>
    <hyperlink ref="B54" location="'清須市'!a1" display="清須市" xr:uid="{1869D2AC-B2CB-42B2-80C4-0B4489ADD496}"/>
    <hyperlink ref="B55" location="'北名古屋市'!a1" display="北名古屋市" xr:uid="{3AD5DC02-92C3-4553-B9C0-28EE51D37201}"/>
    <hyperlink ref="B56" location="'弥富市'!a1" display="弥富市" xr:uid="{76283689-785D-43D5-9046-2F4D532B02D3}"/>
    <hyperlink ref="B57" location="'みよし市'!a1" display="みよし市" xr:uid="{B3530F3E-24EF-48E7-A51B-B353FD5C347A}"/>
    <hyperlink ref="B58" location="'あま市'!a1" display="あま市" xr:uid="{6104A5C0-959A-452F-9D81-B1207077B384}"/>
    <hyperlink ref="B59" location="'長久手市'!a1" display="長久手市" xr:uid="{C93996A6-2826-419D-B4CA-C7AAC8F2F251}"/>
    <hyperlink ref="B60" location="'愛知郡東郷町'!a1" display="愛知郡東郷町" xr:uid="{6A6D1F2E-D6BC-4FD6-9154-C7E202A6C153}"/>
    <hyperlink ref="B61" location="'西春日井郡豊山町'!a1" display="西春日井郡豊山町" xr:uid="{A3406B85-228A-4909-B443-1FAE6B414FD9}"/>
    <hyperlink ref="B62" location="'丹羽郡大口町'!a1" display="丹羽郡大口町" xr:uid="{82C854CC-9597-4D3E-96D4-FB715663C030}"/>
    <hyperlink ref="B63" location="'丹羽郡扶桑町'!a1" display="丹羽郡扶桑町" xr:uid="{C77798A6-2957-41F5-80F7-D3ADC998F622}"/>
    <hyperlink ref="B64" location="'海部郡大治町'!a1" display="海部郡大治町" xr:uid="{3823072B-78B9-4430-AFF7-9EB259067152}"/>
    <hyperlink ref="B65" location="'海部郡蟹江町'!a1" display="海部郡蟹江町" xr:uid="{526656BB-F440-4DF9-9C44-2C069FC09843}"/>
    <hyperlink ref="B66" location="'海部郡飛島村'!a1" display="海部郡飛島村" xr:uid="{41006DA9-2C25-4D33-AE9D-EF2E4BB3548F}"/>
    <hyperlink ref="B67" location="'知多郡阿久比町'!a1" display="知多郡阿久比町" xr:uid="{FF8E4699-370A-48FA-95D3-BAC8534C06E8}"/>
    <hyperlink ref="B68" location="'知多郡東浦町'!a1" display="知多郡東浦町" xr:uid="{E569E408-844A-419A-ADAA-B6E1BABE28AD}"/>
    <hyperlink ref="B69" location="'知多郡南知多町'!a1" display="知多郡南知多町" xr:uid="{2E532573-42BD-4D04-83A4-29D63715C745}"/>
    <hyperlink ref="B70" location="'知多郡美浜町'!a1" display="知多郡美浜町" xr:uid="{E2132108-0687-4309-964C-7F4A745D0982}"/>
    <hyperlink ref="B71" location="'知多郡武豊町'!a1" display="知多郡武豊町" xr:uid="{B29072AE-76B2-40A3-B43E-E3DC9F29CAE8}"/>
    <hyperlink ref="B72" location="'額田郡幸田町'!a1" display="額田郡幸田町" xr:uid="{AB34BE5A-0170-4E96-AEC5-590A6E6B7CFD}"/>
    <hyperlink ref="B73" location="'北設楽郡設楽町'!a1" display="北設楽郡設楽町" xr:uid="{BEBC9FD0-9BB3-43EC-B894-72307C9EB0DB}"/>
    <hyperlink ref="B74" location="'北設楽郡東栄町'!a1" display="北設楽郡東栄町" xr:uid="{8CC8E200-A837-4A94-A743-21537966ADAD}"/>
    <hyperlink ref="B75" location="'北設楽郡豊根村'!a1" display="北設楽郡豊根村" xr:uid="{12140655-0293-497D-844D-30BADCD1A16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D6F4-C01C-4267-A5C9-55BB3071C20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548</v>
      </c>
      <c r="D6" s="8">
        <v>11.59</v>
      </c>
      <c r="E6" s="12">
        <v>71</v>
      </c>
      <c r="F6" s="8">
        <v>3.91</v>
      </c>
      <c r="G6" s="12">
        <v>477</v>
      </c>
      <c r="H6" s="8">
        <v>16.43</v>
      </c>
      <c r="I6" s="12">
        <v>0</v>
      </c>
    </row>
    <row r="7" spans="2:9" ht="15" customHeight="1" x14ac:dyDescent="0.2">
      <c r="B7" t="s">
        <v>73</v>
      </c>
      <c r="C7" s="12">
        <v>743</v>
      </c>
      <c r="D7" s="8">
        <v>15.71</v>
      </c>
      <c r="E7" s="12">
        <v>195</v>
      </c>
      <c r="F7" s="8">
        <v>10.73</v>
      </c>
      <c r="G7" s="12">
        <v>548</v>
      </c>
      <c r="H7" s="8">
        <v>18.87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0.06</v>
      </c>
      <c r="E8" s="12">
        <v>0</v>
      </c>
      <c r="F8" s="8">
        <v>0</v>
      </c>
      <c r="G8" s="12">
        <v>3</v>
      </c>
      <c r="H8" s="8">
        <v>0.1</v>
      </c>
      <c r="I8" s="12">
        <v>0</v>
      </c>
    </row>
    <row r="9" spans="2:9" ht="15" customHeight="1" x14ac:dyDescent="0.2">
      <c r="B9" t="s">
        <v>75</v>
      </c>
      <c r="C9" s="12">
        <v>75</v>
      </c>
      <c r="D9" s="8">
        <v>1.59</v>
      </c>
      <c r="E9" s="12">
        <v>3</v>
      </c>
      <c r="F9" s="8">
        <v>0.17</v>
      </c>
      <c r="G9" s="12">
        <v>72</v>
      </c>
      <c r="H9" s="8">
        <v>2.48</v>
      </c>
      <c r="I9" s="12">
        <v>0</v>
      </c>
    </row>
    <row r="10" spans="2:9" ht="15" customHeight="1" x14ac:dyDescent="0.2">
      <c r="B10" t="s">
        <v>76</v>
      </c>
      <c r="C10" s="12">
        <v>37</v>
      </c>
      <c r="D10" s="8">
        <v>0.78</v>
      </c>
      <c r="E10" s="12">
        <v>6</v>
      </c>
      <c r="F10" s="8">
        <v>0.33</v>
      </c>
      <c r="G10" s="12">
        <v>31</v>
      </c>
      <c r="H10" s="8">
        <v>1.07</v>
      </c>
      <c r="I10" s="12">
        <v>0</v>
      </c>
    </row>
    <row r="11" spans="2:9" ht="15" customHeight="1" x14ac:dyDescent="0.2">
      <c r="B11" t="s">
        <v>77</v>
      </c>
      <c r="C11" s="12">
        <v>1033</v>
      </c>
      <c r="D11" s="8">
        <v>21.84</v>
      </c>
      <c r="E11" s="12">
        <v>306</v>
      </c>
      <c r="F11" s="8">
        <v>16.829999999999998</v>
      </c>
      <c r="G11" s="12">
        <v>727</v>
      </c>
      <c r="H11" s="8">
        <v>25.03</v>
      </c>
      <c r="I11" s="12">
        <v>0</v>
      </c>
    </row>
    <row r="12" spans="2:9" ht="15" customHeight="1" x14ac:dyDescent="0.2">
      <c r="B12" t="s">
        <v>78</v>
      </c>
      <c r="C12" s="12">
        <v>33</v>
      </c>
      <c r="D12" s="8">
        <v>0.7</v>
      </c>
      <c r="E12" s="12">
        <v>4</v>
      </c>
      <c r="F12" s="8">
        <v>0.22</v>
      </c>
      <c r="G12" s="12">
        <v>29</v>
      </c>
      <c r="H12" s="8">
        <v>1</v>
      </c>
      <c r="I12" s="12">
        <v>0</v>
      </c>
    </row>
    <row r="13" spans="2:9" ht="15" customHeight="1" x14ac:dyDescent="0.2">
      <c r="B13" t="s">
        <v>79</v>
      </c>
      <c r="C13" s="12">
        <v>490</v>
      </c>
      <c r="D13" s="8">
        <v>10.36</v>
      </c>
      <c r="E13" s="12">
        <v>97</v>
      </c>
      <c r="F13" s="8">
        <v>5.34</v>
      </c>
      <c r="G13" s="12">
        <v>393</v>
      </c>
      <c r="H13" s="8">
        <v>13.53</v>
      </c>
      <c r="I13" s="12">
        <v>0</v>
      </c>
    </row>
    <row r="14" spans="2:9" ht="15" customHeight="1" x14ac:dyDescent="0.2">
      <c r="B14" t="s">
        <v>80</v>
      </c>
      <c r="C14" s="12">
        <v>299</v>
      </c>
      <c r="D14" s="8">
        <v>6.32</v>
      </c>
      <c r="E14" s="12">
        <v>155</v>
      </c>
      <c r="F14" s="8">
        <v>8.5299999999999994</v>
      </c>
      <c r="G14" s="12">
        <v>143</v>
      </c>
      <c r="H14" s="8">
        <v>4.92</v>
      </c>
      <c r="I14" s="12">
        <v>1</v>
      </c>
    </row>
    <row r="15" spans="2:9" ht="15" customHeight="1" x14ac:dyDescent="0.2">
      <c r="B15" t="s">
        <v>81</v>
      </c>
      <c r="C15" s="12">
        <v>547</v>
      </c>
      <c r="D15" s="8">
        <v>11.57</v>
      </c>
      <c r="E15" s="12">
        <v>440</v>
      </c>
      <c r="F15" s="8">
        <v>24.2</v>
      </c>
      <c r="G15" s="12">
        <v>105</v>
      </c>
      <c r="H15" s="8">
        <v>3.62</v>
      </c>
      <c r="I15" s="12">
        <v>0</v>
      </c>
    </row>
    <row r="16" spans="2:9" ht="15" customHeight="1" x14ac:dyDescent="0.2">
      <c r="B16" t="s">
        <v>82</v>
      </c>
      <c r="C16" s="12">
        <v>408</v>
      </c>
      <c r="D16" s="8">
        <v>8.6300000000000008</v>
      </c>
      <c r="E16" s="12">
        <v>279</v>
      </c>
      <c r="F16" s="8">
        <v>15.35</v>
      </c>
      <c r="G16" s="12">
        <v>129</v>
      </c>
      <c r="H16" s="8">
        <v>4.4400000000000004</v>
      </c>
      <c r="I16" s="12">
        <v>0</v>
      </c>
    </row>
    <row r="17" spans="2:9" ht="15" customHeight="1" x14ac:dyDescent="0.2">
      <c r="B17" t="s">
        <v>83</v>
      </c>
      <c r="C17" s="12">
        <v>136</v>
      </c>
      <c r="D17" s="8">
        <v>2.88</v>
      </c>
      <c r="E17" s="12">
        <v>84</v>
      </c>
      <c r="F17" s="8">
        <v>4.62</v>
      </c>
      <c r="G17" s="12">
        <v>51</v>
      </c>
      <c r="H17" s="8">
        <v>1.76</v>
      </c>
      <c r="I17" s="12">
        <v>1</v>
      </c>
    </row>
    <row r="18" spans="2:9" ht="15" customHeight="1" x14ac:dyDescent="0.2">
      <c r="B18" t="s">
        <v>84</v>
      </c>
      <c r="C18" s="12">
        <v>183</v>
      </c>
      <c r="D18" s="8">
        <v>3.87</v>
      </c>
      <c r="E18" s="12">
        <v>117</v>
      </c>
      <c r="F18" s="8">
        <v>6.44</v>
      </c>
      <c r="G18" s="12">
        <v>66</v>
      </c>
      <c r="H18" s="8">
        <v>2.27</v>
      </c>
      <c r="I18" s="12">
        <v>0</v>
      </c>
    </row>
    <row r="19" spans="2:9" ht="15" customHeight="1" x14ac:dyDescent="0.2">
      <c r="B19" t="s">
        <v>85</v>
      </c>
      <c r="C19" s="12">
        <v>194</v>
      </c>
      <c r="D19" s="8">
        <v>4.0999999999999996</v>
      </c>
      <c r="E19" s="12">
        <v>61</v>
      </c>
      <c r="F19" s="8">
        <v>3.36</v>
      </c>
      <c r="G19" s="12">
        <v>130</v>
      </c>
      <c r="H19" s="8">
        <v>4.4800000000000004</v>
      </c>
      <c r="I19" s="12">
        <v>2</v>
      </c>
    </row>
    <row r="20" spans="2:9" ht="15" customHeight="1" x14ac:dyDescent="0.2">
      <c r="B20" s="9" t="s">
        <v>277</v>
      </c>
      <c r="C20" s="12">
        <f>SUM(LTBL_23104[総数／事業所数])</f>
        <v>4729</v>
      </c>
      <c r="E20" s="12">
        <f>SUBTOTAL(109,LTBL_23104[個人／事業所数])</f>
        <v>1818</v>
      </c>
      <c r="G20" s="12">
        <f>SUBTOTAL(109,LTBL_23104[法人／事業所数])</f>
        <v>2904</v>
      </c>
      <c r="I20" s="12">
        <f>SUBTOTAL(109,LTBL_23104[法人以外の団体／事業所数])</f>
        <v>4</v>
      </c>
    </row>
    <row r="21" spans="2:9" ht="15" customHeight="1" x14ac:dyDescent="0.2">
      <c r="E21" s="11">
        <f>LTBL_23104[[#Totals],[個人／事業所数]]/LTBL_23104[[#Totals],[総数／事業所数]]</f>
        <v>0.38443645591034048</v>
      </c>
      <c r="G21" s="11">
        <f>LTBL_23104[[#Totals],[法人／事業所数]]/LTBL_23104[[#Totals],[総数／事業所数]]</f>
        <v>0.61408331571156693</v>
      </c>
      <c r="I21" s="11">
        <f>LTBL_23104[[#Totals],[法人以外の団体／事業所数]]/LTBL_23104[[#Totals],[総数／事業所数]]</f>
        <v>8.4584478748149711E-4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511</v>
      </c>
      <c r="D24" s="8">
        <v>10.81</v>
      </c>
      <c r="E24" s="12">
        <v>428</v>
      </c>
      <c r="F24" s="8">
        <v>23.54</v>
      </c>
      <c r="G24" s="12">
        <v>83</v>
      </c>
      <c r="H24" s="8">
        <v>2.86</v>
      </c>
      <c r="I24" s="12">
        <v>0</v>
      </c>
    </row>
    <row r="25" spans="2:9" ht="15" customHeight="1" x14ac:dyDescent="0.2">
      <c r="B25" t="s">
        <v>107</v>
      </c>
      <c r="C25" s="12">
        <v>389</v>
      </c>
      <c r="D25" s="8">
        <v>8.23</v>
      </c>
      <c r="E25" s="12">
        <v>89</v>
      </c>
      <c r="F25" s="8">
        <v>4.9000000000000004</v>
      </c>
      <c r="G25" s="12">
        <v>300</v>
      </c>
      <c r="H25" s="8">
        <v>10.33</v>
      </c>
      <c r="I25" s="12">
        <v>0</v>
      </c>
    </row>
    <row r="26" spans="2:9" ht="15" customHeight="1" x14ac:dyDescent="0.2">
      <c r="B26" t="s">
        <v>111</v>
      </c>
      <c r="C26" s="12">
        <v>329</v>
      </c>
      <c r="D26" s="8">
        <v>6.96</v>
      </c>
      <c r="E26" s="12">
        <v>258</v>
      </c>
      <c r="F26" s="8">
        <v>14.19</v>
      </c>
      <c r="G26" s="12">
        <v>71</v>
      </c>
      <c r="H26" s="8">
        <v>2.44</v>
      </c>
      <c r="I26" s="12">
        <v>0</v>
      </c>
    </row>
    <row r="27" spans="2:9" ht="15" customHeight="1" x14ac:dyDescent="0.2">
      <c r="B27" t="s">
        <v>105</v>
      </c>
      <c r="C27" s="12">
        <v>204</v>
      </c>
      <c r="D27" s="8">
        <v>4.3099999999999996</v>
      </c>
      <c r="E27" s="12">
        <v>101</v>
      </c>
      <c r="F27" s="8">
        <v>5.56</v>
      </c>
      <c r="G27" s="12">
        <v>103</v>
      </c>
      <c r="H27" s="8">
        <v>3.55</v>
      </c>
      <c r="I27" s="12">
        <v>0</v>
      </c>
    </row>
    <row r="28" spans="2:9" ht="15" customHeight="1" x14ac:dyDescent="0.2">
      <c r="B28" t="s">
        <v>96</v>
      </c>
      <c r="C28" s="12">
        <v>191</v>
      </c>
      <c r="D28" s="8">
        <v>4.04</v>
      </c>
      <c r="E28" s="12">
        <v>22</v>
      </c>
      <c r="F28" s="8">
        <v>1.21</v>
      </c>
      <c r="G28" s="12">
        <v>169</v>
      </c>
      <c r="H28" s="8">
        <v>5.82</v>
      </c>
      <c r="I28" s="12">
        <v>0</v>
      </c>
    </row>
    <row r="29" spans="2:9" ht="15" customHeight="1" x14ac:dyDescent="0.2">
      <c r="B29" t="s">
        <v>108</v>
      </c>
      <c r="C29" s="12">
        <v>189</v>
      </c>
      <c r="D29" s="8">
        <v>4</v>
      </c>
      <c r="E29" s="12">
        <v>123</v>
      </c>
      <c r="F29" s="8">
        <v>6.77</v>
      </c>
      <c r="G29" s="12">
        <v>65</v>
      </c>
      <c r="H29" s="8">
        <v>2.2400000000000002</v>
      </c>
      <c r="I29" s="12">
        <v>1</v>
      </c>
    </row>
    <row r="30" spans="2:9" ht="15" customHeight="1" x14ac:dyDescent="0.2">
      <c r="B30" t="s">
        <v>95</v>
      </c>
      <c r="C30" s="12">
        <v>180</v>
      </c>
      <c r="D30" s="8">
        <v>3.81</v>
      </c>
      <c r="E30" s="12">
        <v>34</v>
      </c>
      <c r="F30" s="8">
        <v>1.87</v>
      </c>
      <c r="G30" s="12">
        <v>146</v>
      </c>
      <c r="H30" s="8">
        <v>5.03</v>
      </c>
      <c r="I30" s="12">
        <v>0</v>
      </c>
    </row>
    <row r="31" spans="2:9" ht="15" customHeight="1" x14ac:dyDescent="0.2">
      <c r="B31" t="s">
        <v>94</v>
      </c>
      <c r="C31" s="12">
        <v>177</v>
      </c>
      <c r="D31" s="8">
        <v>3.74</v>
      </c>
      <c r="E31" s="12">
        <v>15</v>
      </c>
      <c r="F31" s="8">
        <v>0.83</v>
      </c>
      <c r="G31" s="12">
        <v>162</v>
      </c>
      <c r="H31" s="8">
        <v>5.58</v>
      </c>
      <c r="I31" s="12">
        <v>0</v>
      </c>
    </row>
    <row r="32" spans="2:9" ht="15" customHeight="1" x14ac:dyDescent="0.2">
      <c r="B32" t="s">
        <v>113</v>
      </c>
      <c r="C32" s="12">
        <v>141</v>
      </c>
      <c r="D32" s="8">
        <v>2.98</v>
      </c>
      <c r="E32" s="12">
        <v>116</v>
      </c>
      <c r="F32" s="8">
        <v>6.38</v>
      </c>
      <c r="G32" s="12">
        <v>25</v>
      </c>
      <c r="H32" s="8">
        <v>0.86</v>
      </c>
      <c r="I32" s="12">
        <v>0</v>
      </c>
    </row>
    <row r="33" spans="2:9" ht="15" customHeight="1" x14ac:dyDescent="0.2">
      <c r="B33" t="s">
        <v>100</v>
      </c>
      <c r="C33" s="12">
        <v>138</v>
      </c>
      <c r="D33" s="8">
        <v>2.92</v>
      </c>
      <c r="E33" s="12">
        <v>10</v>
      </c>
      <c r="F33" s="8">
        <v>0.55000000000000004</v>
      </c>
      <c r="G33" s="12">
        <v>128</v>
      </c>
      <c r="H33" s="8">
        <v>4.41</v>
      </c>
      <c r="I33" s="12">
        <v>0</v>
      </c>
    </row>
    <row r="34" spans="2:9" ht="15" customHeight="1" x14ac:dyDescent="0.2">
      <c r="B34" t="s">
        <v>112</v>
      </c>
      <c r="C34" s="12">
        <v>136</v>
      </c>
      <c r="D34" s="8">
        <v>2.88</v>
      </c>
      <c r="E34" s="12">
        <v>84</v>
      </c>
      <c r="F34" s="8">
        <v>4.62</v>
      </c>
      <c r="G34" s="12">
        <v>51</v>
      </c>
      <c r="H34" s="8">
        <v>1.76</v>
      </c>
      <c r="I34" s="12">
        <v>1</v>
      </c>
    </row>
    <row r="35" spans="2:9" ht="15" customHeight="1" x14ac:dyDescent="0.2">
      <c r="B35" t="s">
        <v>101</v>
      </c>
      <c r="C35" s="12">
        <v>121</v>
      </c>
      <c r="D35" s="8">
        <v>2.56</v>
      </c>
      <c r="E35" s="12">
        <v>18</v>
      </c>
      <c r="F35" s="8">
        <v>0.99</v>
      </c>
      <c r="G35" s="12">
        <v>103</v>
      </c>
      <c r="H35" s="8">
        <v>3.55</v>
      </c>
      <c r="I35" s="12">
        <v>0</v>
      </c>
    </row>
    <row r="36" spans="2:9" ht="15" customHeight="1" x14ac:dyDescent="0.2">
      <c r="B36" t="s">
        <v>103</v>
      </c>
      <c r="C36" s="12">
        <v>108</v>
      </c>
      <c r="D36" s="8">
        <v>2.2799999999999998</v>
      </c>
      <c r="E36" s="12">
        <v>69</v>
      </c>
      <c r="F36" s="8">
        <v>3.8</v>
      </c>
      <c r="G36" s="12">
        <v>39</v>
      </c>
      <c r="H36" s="8">
        <v>1.34</v>
      </c>
      <c r="I36" s="12">
        <v>0</v>
      </c>
    </row>
    <row r="37" spans="2:9" ht="15" customHeight="1" x14ac:dyDescent="0.2">
      <c r="B37" t="s">
        <v>118</v>
      </c>
      <c r="C37" s="12">
        <v>100</v>
      </c>
      <c r="D37" s="8">
        <v>2.11</v>
      </c>
      <c r="E37" s="12">
        <v>16</v>
      </c>
      <c r="F37" s="8">
        <v>0.88</v>
      </c>
      <c r="G37" s="12">
        <v>84</v>
      </c>
      <c r="H37" s="8">
        <v>2.89</v>
      </c>
      <c r="I37" s="12">
        <v>0</v>
      </c>
    </row>
    <row r="38" spans="2:9" ht="15" customHeight="1" x14ac:dyDescent="0.2">
      <c r="B38" t="s">
        <v>117</v>
      </c>
      <c r="C38" s="12">
        <v>99</v>
      </c>
      <c r="D38" s="8">
        <v>2.09</v>
      </c>
      <c r="E38" s="12">
        <v>27</v>
      </c>
      <c r="F38" s="8">
        <v>1.49</v>
      </c>
      <c r="G38" s="12">
        <v>72</v>
      </c>
      <c r="H38" s="8">
        <v>2.48</v>
      </c>
      <c r="I38" s="12">
        <v>0</v>
      </c>
    </row>
    <row r="39" spans="2:9" ht="15" customHeight="1" x14ac:dyDescent="0.2">
      <c r="B39" t="s">
        <v>102</v>
      </c>
      <c r="C39" s="12">
        <v>99</v>
      </c>
      <c r="D39" s="8">
        <v>2.09</v>
      </c>
      <c r="E39" s="12">
        <v>42</v>
      </c>
      <c r="F39" s="8">
        <v>2.31</v>
      </c>
      <c r="G39" s="12">
        <v>57</v>
      </c>
      <c r="H39" s="8">
        <v>1.96</v>
      </c>
      <c r="I39" s="12">
        <v>0</v>
      </c>
    </row>
    <row r="40" spans="2:9" ht="15" customHeight="1" x14ac:dyDescent="0.2">
      <c r="B40" t="s">
        <v>97</v>
      </c>
      <c r="C40" s="12">
        <v>98</v>
      </c>
      <c r="D40" s="8">
        <v>2.0699999999999998</v>
      </c>
      <c r="E40" s="12">
        <v>27</v>
      </c>
      <c r="F40" s="8">
        <v>1.49</v>
      </c>
      <c r="G40" s="12">
        <v>71</v>
      </c>
      <c r="H40" s="8">
        <v>2.44</v>
      </c>
      <c r="I40" s="12">
        <v>0</v>
      </c>
    </row>
    <row r="41" spans="2:9" ht="15" customHeight="1" x14ac:dyDescent="0.2">
      <c r="B41" t="s">
        <v>109</v>
      </c>
      <c r="C41" s="12">
        <v>94</v>
      </c>
      <c r="D41" s="8">
        <v>1.99</v>
      </c>
      <c r="E41" s="12">
        <v>32</v>
      </c>
      <c r="F41" s="8">
        <v>1.76</v>
      </c>
      <c r="G41" s="12">
        <v>62</v>
      </c>
      <c r="H41" s="8">
        <v>2.13</v>
      </c>
      <c r="I41" s="12">
        <v>0</v>
      </c>
    </row>
    <row r="42" spans="2:9" ht="15" customHeight="1" x14ac:dyDescent="0.2">
      <c r="B42" t="s">
        <v>99</v>
      </c>
      <c r="C42" s="12">
        <v>93</v>
      </c>
      <c r="D42" s="8">
        <v>1.97</v>
      </c>
      <c r="E42" s="12">
        <v>4</v>
      </c>
      <c r="F42" s="8">
        <v>0.22</v>
      </c>
      <c r="G42" s="12">
        <v>89</v>
      </c>
      <c r="H42" s="8">
        <v>3.06</v>
      </c>
      <c r="I42" s="12">
        <v>0</v>
      </c>
    </row>
    <row r="43" spans="2:9" ht="15" customHeight="1" x14ac:dyDescent="0.2">
      <c r="B43" t="s">
        <v>104</v>
      </c>
      <c r="C43" s="12">
        <v>92</v>
      </c>
      <c r="D43" s="8">
        <v>1.95</v>
      </c>
      <c r="E43" s="12">
        <v>40</v>
      </c>
      <c r="F43" s="8">
        <v>2.2000000000000002</v>
      </c>
      <c r="G43" s="12">
        <v>52</v>
      </c>
      <c r="H43" s="8">
        <v>1.79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221</v>
      </c>
      <c r="D47" s="8">
        <v>4.67</v>
      </c>
      <c r="E47" s="12">
        <v>67</v>
      </c>
      <c r="F47" s="8">
        <v>3.69</v>
      </c>
      <c r="G47" s="12">
        <v>154</v>
      </c>
      <c r="H47" s="8">
        <v>5.3</v>
      </c>
      <c r="I47" s="12">
        <v>0</v>
      </c>
    </row>
    <row r="48" spans="2:9" ht="15" customHeight="1" x14ac:dyDescent="0.2">
      <c r="B48" t="s">
        <v>165</v>
      </c>
      <c r="C48" s="12">
        <v>155</v>
      </c>
      <c r="D48" s="8">
        <v>3.28</v>
      </c>
      <c r="E48" s="12">
        <v>141</v>
      </c>
      <c r="F48" s="8">
        <v>7.76</v>
      </c>
      <c r="G48" s="12">
        <v>14</v>
      </c>
      <c r="H48" s="8">
        <v>0.48</v>
      </c>
      <c r="I48" s="12">
        <v>0</v>
      </c>
    </row>
    <row r="49" spans="2:9" ht="15" customHeight="1" x14ac:dyDescent="0.2">
      <c r="B49" t="s">
        <v>168</v>
      </c>
      <c r="C49" s="12">
        <v>148</v>
      </c>
      <c r="D49" s="8">
        <v>3.13</v>
      </c>
      <c r="E49" s="12">
        <v>119</v>
      </c>
      <c r="F49" s="8">
        <v>6.55</v>
      </c>
      <c r="G49" s="12">
        <v>29</v>
      </c>
      <c r="H49" s="8">
        <v>1</v>
      </c>
      <c r="I49" s="12">
        <v>0</v>
      </c>
    </row>
    <row r="50" spans="2:9" ht="15" customHeight="1" x14ac:dyDescent="0.2">
      <c r="B50" t="s">
        <v>163</v>
      </c>
      <c r="C50" s="12">
        <v>140</v>
      </c>
      <c r="D50" s="8">
        <v>2.96</v>
      </c>
      <c r="E50" s="12">
        <v>106</v>
      </c>
      <c r="F50" s="8">
        <v>5.83</v>
      </c>
      <c r="G50" s="12">
        <v>34</v>
      </c>
      <c r="H50" s="8">
        <v>1.17</v>
      </c>
      <c r="I50" s="12">
        <v>0</v>
      </c>
    </row>
    <row r="51" spans="2:9" ht="15" customHeight="1" x14ac:dyDescent="0.2">
      <c r="B51" t="s">
        <v>164</v>
      </c>
      <c r="C51" s="12">
        <v>113</v>
      </c>
      <c r="D51" s="8">
        <v>2.39</v>
      </c>
      <c r="E51" s="12">
        <v>100</v>
      </c>
      <c r="F51" s="8">
        <v>5.5</v>
      </c>
      <c r="G51" s="12">
        <v>13</v>
      </c>
      <c r="H51" s="8">
        <v>0.45</v>
      </c>
      <c r="I51" s="12">
        <v>0</v>
      </c>
    </row>
    <row r="52" spans="2:9" ht="15" customHeight="1" x14ac:dyDescent="0.2">
      <c r="B52" t="s">
        <v>171</v>
      </c>
      <c r="C52" s="12">
        <v>103</v>
      </c>
      <c r="D52" s="8">
        <v>2.1800000000000002</v>
      </c>
      <c r="E52" s="12">
        <v>82</v>
      </c>
      <c r="F52" s="8">
        <v>4.51</v>
      </c>
      <c r="G52" s="12">
        <v>21</v>
      </c>
      <c r="H52" s="8">
        <v>0.72</v>
      </c>
      <c r="I52" s="12">
        <v>0</v>
      </c>
    </row>
    <row r="53" spans="2:9" ht="15" customHeight="1" x14ac:dyDescent="0.2">
      <c r="B53" t="s">
        <v>167</v>
      </c>
      <c r="C53" s="12">
        <v>94</v>
      </c>
      <c r="D53" s="8">
        <v>1.99</v>
      </c>
      <c r="E53" s="12">
        <v>90</v>
      </c>
      <c r="F53" s="8">
        <v>4.95</v>
      </c>
      <c r="G53" s="12">
        <v>4</v>
      </c>
      <c r="H53" s="8">
        <v>0.14000000000000001</v>
      </c>
      <c r="I53" s="12">
        <v>0</v>
      </c>
    </row>
    <row r="54" spans="2:9" ht="15" customHeight="1" x14ac:dyDescent="0.2">
      <c r="B54" t="s">
        <v>170</v>
      </c>
      <c r="C54" s="12">
        <v>84</v>
      </c>
      <c r="D54" s="8">
        <v>1.78</v>
      </c>
      <c r="E54" s="12">
        <v>59</v>
      </c>
      <c r="F54" s="8">
        <v>3.25</v>
      </c>
      <c r="G54" s="12">
        <v>25</v>
      </c>
      <c r="H54" s="8">
        <v>0.86</v>
      </c>
      <c r="I54" s="12">
        <v>0</v>
      </c>
    </row>
    <row r="55" spans="2:9" ht="15" customHeight="1" x14ac:dyDescent="0.2">
      <c r="B55" t="s">
        <v>160</v>
      </c>
      <c r="C55" s="12">
        <v>81</v>
      </c>
      <c r="D55" s="8">
        <v>1.71</v>
      </c>
      <c r="E55" s="12">
        <v>10</v>
      </c>
      <c r="F55" s="8">
        <v>0.55000000000000004</v>
      </c>
      <c r="G55" s="12">
        <v>71</v>
      </c>
      <c r="H55" s="8">
        <v>2.44</v>
      </c>
      <c r="I55" s="12">
        <v>0</v>
      </c>
    </row>
    <row r="56" spans="2:9" ht="15" customHeight="1" x14ac:dyDescent="0.2">
      <c r="B56" t="s">
        <v>185</v>
      </c>
      <c r="C56" s="12">
        <v>79</v>
      </c>
      <c r="D56" s="8">
        <v>1.67</v>
      </c>
      <c r="E56" s="12">
        <v>21</v>
      </c>
      <c r="F56" s="8">
        <v>1.1599999999999999</v>
      </c>
      <c r="G56" s="12">
        <v>58</v>
      </c>
      <c r="H56" s="8">
        <v>2</v>
      </c>
      <c r="I56" s="12">
        <v>0</v>
      </c>
    </row>
    <row r="57" spans="2:9" ht="15" customHeight="1" x14ac:dyDescent="0.2">
      <c r="B57" t="s">
        <v>187</v>
      </c>
      <c r="C57" s="12">
        <v>77</v>
      </c>
      <c r="D57" s="8">
        <v>1.63</v>
      </c>
      <c r="E57" s="12">
        <v>12</v>
      </c>
      <c r="F57" s="8">
        <v>0.66</v>
      </c>
      <c r="G57" s="12">
        <v>65</v>
      </c>
      <c r="H57" s="8">
        <v>2.2400000000000002</v>
      </c>
      <c r="I57" s="12">
        <v>0</v>
      </c>
    </row>
    <row r="58" spans="2:9" ht="15" customHeight="1" x14ac:dyDescent="0.2">
      <c r="B58" t="s">
        <v>155</v>
      </c>
      <c r="C58" s="12">
        <v>73</v>
      </c>
      <c r="D58" s="8">
        <v>1.54</v>
      </c>
      <c r="E58" s="12">
        <v>8</v>
      </c>
      <c r="F58" s="8">
        <v>0.44</v>
      </c>
      <c r="G58" s="12">
        <v>65</v>
      </c>
      <c r="H58" s="8">
        <v>2.2400000000000002</v>
      </c>
      <c r="I58" s="12">
        <v>0</v>
      </c>
    </row>
    <row r="59" spans="2:9" ht="15" customHeight="1" x14ac:dyDescent="0.2">
      <c r="B59" t="s">
        <v>153</v>
      </c>
      <c r="C59" s="12">
        <v>71</v>
      </c>
      <c r="D59" s="8">
        <v>1.5</v>
      </c>
      <c r="E59" s="12">
        <v>2</v>
      </c>
      <c r="F59" s="8">
        <v>0.11</v>
      </c>
      <c r="G59" s="12">
        <v>69</v>
      </c>
      <c r="H59" s="8">
        <v>2.38</v>
      </c>
      <c r="I59" s="12">
        <v>0</v>
      </c>
    </row>
    <row r="60" spans="2:9" ht="15" customHeight="1" x14ac:dyDescent="0.2">
      <c r="B60" t="s">
        <v>154</v>
      </c>
      <c r="C60" s="12">
        <v>68</v>
      </c>
      <c r="D60" s="8">
        <v>1.44</v>
      </c>
      <c r="E60" s="12">
        <v>10</v>
      </c>
      <c r="F60" s="8">
        <v>0.55000000000000004</v>
      </c>
      <c r="G60" s="12">
        <v>58</v>
      </c>
      <c r="H60" s="8">
        <v>2</v>
      </c>
      <c r="I60" s="12">
        <v>0</v>
      </c>
    </row>
    <row r="61" spans="2:9" ht="15" customHeight="1" x14ac:dyDescent="0.2">
      <c r="B61" t="s">
        <v>173</v>
      </c>
      <c r="C61" s="12">
        <v>66</v>
      </c>
      <c r="D61" s="8">
        <v>1.4</v>
      </c>
      <c r="E61" s="12">
        <v>13</v>
      </c>
      <c r="F61" s="8">
        <v>0.72</v>
      </c>
      <c r="G61" s="12">
        <v>53</v>
      </c>
      <c r="H61" s="8">
        <v>1.83</v>
      </c>
      <c r="I61" s="12">
        <v>0</v>
      </c>
    </row>
    <row r="62" spans="2:9" ht="15" customHeight="1" x14ac:dyDescent="0.2">
      <c r="B62" t="s">
        <v>172</v>
      </c>
      <c r="C62" s="12">
        <v>62</v>
      </c>
      <c r="D62" s="8">
        <v>1.31</v>
      </c>
      <c r="E62" s="12">
        <v>6</v>
      </c>
      <c r="F62" s="8">
        <v>0.33</v>
      </c>
      <c r="G62" s="12">
        <v>56</v>
      </c>
      <c r="H62" s="8">
        <v>1.93</v>
      </c>
      <c r="I62" s="12">
        <v>0</v>
      </c>
    </row>
    <row r="63" spans="2:9" ht="15" customHeight="1" x14ac:dyDescent="0.2">
      <c r="B63" t="s">
        <v>188</v>
      </c>
      <c r="C63" s="12">
        <v>62</v>
      </c>
      <c r="D63" s="8">
        <v>1.31</v>
      </c>
      <c r="E63" s="12">
        <v>36</v>
      </c>
      <c r="F63" s="8">
        <v>1.98</v>
      </c>
      <c r="G63" s="12">
        <v>26</v>
      </c>
      <c r="H63" s="8">
        <v>0.9</v>
      </c>
      <c r="I63" s="12">
        <v>0</v>
      </c>
    </row>
    <row r="64" spans="2:9" ht="15" customHeight="1" x14ac:dyDescent="0.2">
      <c r="B64" t="s">
        <v>162</v>
      </c>
      <c r="C64" s="12">
        <v>60</v>
      </c>
      <c r="D64" s="8">
        <v>1.27</v>
      </c>
      <c r="E64" s="12">
        <v>19</v>
      </c>
      <c r="F64" s="8">
        <v>1.05</v>
      </c>
      <c r="G64" s="12">
        <v>41</v>
      </c>
      <c r="H64" s="8">
        <v>1.41</v>
      </c>
      <c r="I64" s="12">
        <v>0</v>
      </c>
    </row>
    <row r="65" spans="2:9" ht="15" customHeight="1" x14ac:dyDescent="0.2">
      <c r="B65" t="s">
        <v>175</v>
      </c>
      <c r="C65" s="12">
        <v>59</v>
      </c>
      <c r="D65" s="8">
        <v>1.25</v>
      </c>
      <c r="E65" s="12">
        <v>56</v>
      </c>
      <c r="F65" s="8">
        <v>3.08</v>
      </c>
      <c r="G65" s="12">
        <v>3</v>
      </c>
      <c r="H65" s="8">
        <v>0.1</v>
      </c>
      <c r="I65" s="12">
        <v>0</v>
      </c>
    </row>
    <row r="66" spans="2:9" ht="15" customHeight="1" x14ac:dyDescent="0.2">
      <c r="B66" t="s">
        <v>157</v>
      </c>
      <c r="C66" s="12">
        <v>56</v>
      </c>
      <c r="D66" s="8">
        <v>1.18</v>
      </c>
      <c r="E66" s="12">
        <v>25</v>
      </c>
      <c r="F66" s="8">
        <v>1.38</v>
      </c>
      <c r="G66" s="12">
        <v>31</v>
      </c>
      <c r="H66" s="8">
        <v>1.07</v>
      </c>
      <c r="I66" s="12">
        <v>0</v>
      </c>
    </row>
    <row r="67" spans="2:9" ht="15" customHeight="1" x14ac:dyDescent="0.2">
      <c r="B67" t="s">
        <v>158</v>
      </c>
      <c r="C67" s="12">
        <v>56</v>
      </c>
      <c r="D67" s="8">
        <v>1.18</v>
      </c>
      <c r="E67" s="12">
        <v>34</v>
      </c>
      <c r="F67" s="8">
        <v>1.87</v>
      </c>
      <c r="G67" s="12">
        <v>22</v>
      </c>
      <c r="H67" s="8">
        <v>0.76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1F89-B507-4631-9939-E99B4401827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286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457</v>
      </c>
      <c r="D6" s="8">
        <v>8.7100000000000009</v>
      </c>
      <c r="E6" s="12">
        <v>49</v>
      </c>
      <c r="F6" s="8">
        <v>2.79</v>
      </c>
      <c r="G6" s="12">
        <v>407</v>
      </c>
      <c r="H6" s="8">
        <v>11.72</v>
      </c>
      <c r="I6" s="12">
        <v>1</v>
      </c>
    </row>
    <row r="7" spans="2:9" ht="15" customHeight="1" x14ac:dyDescent="0.2">
      <c r="B7" t="s">
        <v>73</v>
      </c>
      <c r="C7" s="12">
        <v>355</v>
      </c>
      <c r="D7" s="8">
        <v>6.77</v>
      </c>
      <c r="E7" s="12">
        <v>108</v>
      </c>
      <c r="F7" s="8">
        <v>6.16</v>
      </c>
      <c r="G7" s="12">
        <v>247</v>
      </c>
      <c r="H7" s="8">
        <v>7.11</v>
      </c>
      <c r="I7" s="12">
        <v>0</v>
      </c>
    </row>
    <row r="8" spans="2:9" ht="15" customHeight="1" x14ac:dyDescent="0.2">
      <c r="B8" t="s">
        <v>74</v>
      </c>
      <c r="C8" s="12">
        <v>4</v>
      </c>
      <c r="D8" s="8">
        <v>0.08</v>
      </c>
      <c r="E8" s="12">
        <v>0</v>
      </c>
      <c r="F8" s="8">
        <v>0</v>
      </c>
      <c r="G8" s="12">
        <v>4</v>
      </c>
      <c r="H8" s="8">
        <v>0.12</v>
      </c>
      <c r="I8" s="12">
        <v>0</v>
      </c>
    </row>
    <row r="9" spans="2:9" ht="15" customHeight="1" x14ac:dyDescent="0.2">
      <c r="B9" t="s">
        <v>75</v>
      </c>
      <c r="C9" s="12">
        <v>145</v>
      </c>
      <c r="D9" s="8">
        <v>2.77</v>
      </c>
      <c r="E9" s="12">
        <v>2</v>
      </c>
      <c r="F9" s="8">
        <v>0.11</v>
      </c>
      <c r="G9" s="12">
        <v>143</v>
      </c>
      <c r="H9" s="8">
        <v>4.12</v>
      </c>
      <c r="I9" s="12">
        <v>0</v>
      </c>
    </row>
    <row r="10" spans="2:9" ht="15" customHeight="1" x14ac:dyDescent="0.2">
      <c r="B10" t="s">
        <v>76</v>
      </c>
      <c r="C10" s="12">
        <v>62</v>
      </c>
      <c r="D10" s="8">
        <v>1.18</v>
      </c>
      <c r="E10" s="12">
        <v>10</v>
      </c>
      <c r="F10" s="8">
        <v>0.56999999999999995</v>
      </c>
      <c r="G10" s="12">
        <v>52</v>
      </c>
      <c r="H10" s="8">
        <v>1.5</v>
      </c>
      <c r="I10" s="12">
        <v>0</v>
      </c>
    </row>
    <row r="11" spans="2:9" ht="15" customHeight="1" x14ac:dyDescent="0.2">
      <c r="B11" t="s">
        <v>77</v>
      </c>
      <c r="C11" s="12">
        <v>1379</v>
      </c>
      <c r="D11" s="8">
        <v>26.3</v>
      </c>
      <c r="E11" s="12">
        <v>337</v>
      </c>
      <c r="F11" s="8">
        <v>19.21</v>
      </c>
      <c r="G11" s="12">
        <v>1042</v>
      </c>
      <c r="H11" s="8">
        <v>30</v>
      </c>
      <c r="I11" s="12">
        <v>0</v>
      </c>
    </row>
    <row r="12" spans="2:9" ht="15" customHeight="1" x14ac:dyDescent="0.2">
      <c r="B12" t="s">
        <v>78</v>
      </c>
      <c r="C12" s="12">
        <v>47</v>
      </c>
      <c r="D12" s="8">
        <v>0.9</v>
      </c>
      <c r="E12" s="12">
        <v>5</v>
      </c>
      <c r="F12" s="8">
        <v>0.28999999999999998</v>
      </c>
      <c r="G12" s="12">
        <v>42</v>
      </c>
      <c r="H12" s="8">
        <v>1.21</v>
      </c>
      <c r="I12" s="12">
        <v>0</v>
      </c>
    </row>
    <row r="13" spans="2:9" ht="15" customHeight="1" x14ac:dyDescent="0.2">
      <c r="B13" t="s">
        <v>79</v>
      </c>
      <c r="C13" s="12">
        <v>574</v>
      </c>
      <c r="D13" s="8">
        <v>10.95</v>
      </c>
      <c r="E13" s="12">
        <v>77</v>
      </c>
      <c r="F13" s="8">
        <v>4.3899999999999997</v>
      </c>
      <c r="G13" s="12">
        <v>494</v>
      </c>
      <c r="H13" s="8">
        <v>14.22</v>
      </c>
      <c r="I13" s="12">
        <v>3</v>
      </c>
    </row>
    <row r="14" spans="2:9" ht="15" customHeight="1" x14ac:dyDescent="0.2">
      <c r="B14" t="s">
        <v>80</v>
      </c>
      <c r="C14" s="12">
        <v>458</v>
      </c>
      <c r="D14" s="8">
        <v>8.73</v>
      </c>
      <c r="E14" s="12">
        <v>198</v>
      </c>
      <c r="F14" s="8">
        <v>11.29</v>
      </c>
      <c r="G14" s="12">
        <v>259</v>
      </c>
      <c r="H14" s="8">
        <v>7.46</v>
      </c>
      <c r="I14" s="12">
        <v>1</v>
      </c>
    </row>
    <row r="15" spans="2:9" ht="15" customHeight="1" x14ac:dyDescent="0.2">
      <c r="B15" t="s">
        <v>81</v>
      </c>
      <c r="C15" s="12">
        <v>620</v>
      </c>
      <c r="D15" s="8">
        <v>11.82</v>
      </c>
      <c r="E15" s="12">
        <v>422</v>
      </c>
      <c r="F15" s="8">
        <v>24.06</v>
      </c>
      <c r="G15" s="12">
        <v>198</v>
      </c>
      <c r="H15" s="8">
        <v>5.7</v>
      </c>
      <c r="I15" s="12">
        <v>0</v>
      </c>
    </row>
    <row r="16" spans="2:9" ht="15" customHeight="1" x14ac:dyDescent="0.2">
      <c r="B16" t="s">
        <v>82</v>
      </c>
      <c r="C16" s="12">
        <v>527</v>
      </c>
      <c r="D16" s="8">
        <v>10.050000000000001</v>
      </c>
      <c r="E16" s="12">
        <v>294</v>
      </c>
      <c r="F16" s="8">
        <v>16.760000000000002</v>
      </c>
      <c r="G16" s="12">
        <v>232</v>
      </c>
      <c r="H16" s="8">
        <v>6.68</v>
      </c>
      <c r="I16" s="12">
        <v>1</v>
      </c>
    </row>
    <row r="17" spans="2:9" ht="15" customHeight="1" x14ac:dyDescent="0.2">
      <c r="B17" t="s">
        <v>83</v>
      </c>
      <c r="C17" s="12">
        <v>158</v>
      </c>
      <c r="D17" s="8">
        <v>3.01</v>
      </c>
      <c r="E17" s="12">
        <v>85</v>
      </c>
      <c r="F17" s="8">
        <v>4.8499999999999996</v>
      </c>
      <c r="G17" s="12">
        <v>67</v>
      </c>
      <c r="H17" s="8">
        <v>1.93</v>
      </c>
      <c r="I17" s="12">
        <v>5</v>
      </c>
    </row>
    <row r="18" spans="2:9" ht="15" customHeight="1" x14ac:dyDescent="0.2">
      <c r="B18" t="s">
        <v>84</v>
      </c>
      <c r="C18" s="12">
        <v>229</v>
      </c>
      <c r="D18" s="8">
        <v>4.37</v>
      </c>
      <c r="E18" s="12">
        <v>148</v>
      </c>
      <c r="F18" s="8">
        <v>8.44</v>
      </c>
      <c r="G18" s="12">
        <v>81</v>
      </c>
      <c r="H18" s="8">
        <v>2.33</v>
      </c>
      <c r="I18" s="12">
        <v>0</v>
      </c>
    </row>
    <row r="19" spans="2:9" ht="15" customHeight="1" x14ac:dyDescent="0.2">
      <c r="B19" t="s">
        <v>85</v>
      </c>
      <c r="C19" s="12">
        <v>229</v>
      </c>
      <c r="D19" s="8">
        <v>4.37</v>
      </c>
      <c r="E19" s="12">
        <v>19</v>
      </c>
      <c r="F19" s="8">
        <v>1.08</v>
      </c>
      <c r="G19" s="12">
        <v>205</v>
      </c>
      <c r="H19" s="8">
        <v>5.9</v>
      </c>
      <c r="I19" s="12">
        <v>4</v>
      </c>
    </row>
    <row r="20" spans="2:9" ht="15" customHeight="1" x14ac:dyDescent="0.2">
      <c r="B20" s="9" t="s">
        <v>277</v>
      </c>
      <c r="C20" s="12">
        <f>SUM(LTBL_23105[総数／事業所数])</f>
        <v>5244</v>
      </c>
      <c r="E20" s="12">
        <f>SUBTOTAL(109,LTBL_23105[個人／事業所数])</f>
        <v>1754</v>
      </c>
      <c r="G20" s="12">
        <f>SUBTOTAL(109,LTBL_23105[法人／事業所数])</f>
        <v>3473</v>
      </c>
      <c r="I20" s="12">
        <f>SUBTOTAL(109,LTBL_23105[法人以外の団体／事業所数])</f>
        <v>15</v>
      </c>
    </row>
    <row r="21" spans="2:9" ht="15" customHeight="1" x14ac:dyDescent="0.2">
      <c r="E21" s="11">
        <f>LTBL_23105[[#Totals],[個人／事業所数]]/LTBL_23105[[#Totals],[総数／事業所数]]</f>
        <v>0.33447749809305871</v>
      </c>
      <c r="G21" s="11">
        <f>LTBL_23105[[#Totals],[法人／事業所数]]/LTBL_23105[[#Totals],[総数／事業所数]]</f>
        <v>0.66228070175438591</v>
      </c>
      <c r="I21" s="11">
        <f>LTBL_23105[[#Totals],[法人以外の団体／事業所数]]/LTBL_23105[[#Totals],[総数／事業所数]]</f>
        <v>2.860411899313501E-3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568</v>
      </c>
      <c r="D24" s="8">
        <v>10.83</v>
      </c>
      <c r="E24" s="12">
        <v>402</v>
      </c>
      <c r="F24" s="8">
        <v>22.92</v>
      </c>
      <c r="G24" s="12">
        <v>166</v>
      </c>
      <c r="H24" s="8">
        <v>4.78</v>
      </c>
      <c r="I24" s="12">
        <v>0</v>
      </c>
    </row>
    <row r="25" spans="2:9" ht="15" customHeight="1" x14ac:dyDescent="0.2">
      <c r="B25" t="s">
        <v>107</v>
      </c>
      <c r="C25" s="12">
        <v>460</v>
      </c>
      <c r="D25" s="8">
        <v>8.77</v>
      </c>
      <c r="E25" s="12">
        <v>64</v>
      </c>
      <c r="F25" s="8">
        <v>3.65</v>
      </c>
      <c r="G25" s="12">
        <v>393</v>
      </c>
      <c r="H25" s="8">
        <v>11.32</v>
      </c>
      <c r="I25" s="12">
        <v>3</v>
      </c>
    </row>
    <row r="26" spans="2:9" ht="15" customHeight="1" x14ac:dyDescent="0.2">
      <c r="B26" t="s">
        <v>111</v>
      </c>
      <c r="C26" s="12">
        <v>384</v>
      </c>
      <c r="D26" s="8">
        <v>7.32</v>
      </c>
      <c r="E26" s="12">
        <v>265</v>
      </c>
      <c r="F26" s="8">
        <v>15.11</v>
      </c>
      <c r="G26" s="12">
        <v>119</v>
      </c>
      <c r="H26" s="8">
        <v>3.43</v>
      </c>
      <c r="I26" s="12">
        <v>0</v>
      </c>
    </row>
    <row r="27" spans="2:9" ht="15" customHeight="1" x14ac:dyDescent="0.2">
      <c r="B27" t="s">
        <v>108</v>
      </c>
      <c r="C27" s="12">
        <v>341</v>
      </c>
      <c r="D27" s="8">
        <v>6.5</v>
      </c>
      <c r="E27" s="12">
        <v>169</v>
      </c>
      <c r="F27" s="8">
        <v>9.64</v>
      </c>
      <c r="G27" s="12">
        <v>171</v>
      </c>
      <c r="H27" s="8">
        <v>4.92</v>
      </c>
      <c r="I27" s="12">
        <v>1</v>
      </c>
    </row>
    <row r="28" spans="2:9" ht="15" customHeight="1" x14ac:dyDescent="0.2">
      <c r="B28" t="s">
        <v>105</v>
      </c>
      <c r="C28" s="12">
        <v>266</v>
      </c>
      <c r="D28" s="8">
        <v>5.07</v>
      </c>
      <c r="E28" s="12">
        <v>112</v>
      </c>
      <c r="F28" s="8">
        <v>6.39</v>
      </c>
      <c r="G28" s="12">
        <v>154</v>
      </c>
      <c r="H28" s="8">
        <v>4.43</v>
      </c>
      <c r="I28" s="12">
        <v>0</v>
      </c>
    </row>
    <row r="29" spans="2:9" ht="15" customHeight="1" x14ac:dyDescent="0.2">
      <c r="B29" t="s">
        <v>100</v>
      </c>
      <c r="C29" s="12">
        <v>193</v>
      </c>
      <c r="D29" s="8">
        <v>3.68</v>
      </c>
      <c r="E29" s="12">
        <v>7</v>
      </c>
      <c r="F29" s="8">
        <v>0.4</v>
      </c>
      <c r="G29" s="12">
        <v>186</v>
      </c>
      <c r="H29" s="8">
        <v>5.36</v>
      </c>
      <c r="I29" s="12">
        <v>0</v>
      </c>
    </row>
    <row r="30" spans="2:9" ht="15" customHeight="1" x14ac:dyDescent="0.2">
      <c r="B30" t="s">
        <v>113</v>
      </c>
      <c r="C30" s="12">
        <v>174</v>
      </c>
      <c r="D30" s="8">
        <v>3.32</v>
      </c>
      <c r="E30" s="12">
        <v>147</v>
      </c>
      <c r="F30" s="8">
        <v>8.3800000000000008</v>
      </c>
      <c r="G30" s="12">
        <v>27</v>
      </c>
      <c r="H30" s="8">
        <v>0.78</v>
      </c>
      <c r="I30" s="12">
        <v>0</v>
      </c>
    </row>
    <row r="31" spans="2:9" ht="15" customHeight="1" x14ac:dyDescent="0.2">
      <c r="B31" t="s">
        <v>103</v>
      </c>
      <c r="C31" s="12">
        <v>172</v>
      </c>
      <c r="D31" s="8">
        <v>3.28</v>
      </c>
      <c r="E31" s="12">
        <v>79</v>
      </c>
      <c r="F31" s="8">
        <v>4.5</v>
      </c>
      <c r="G31" s="12">
        <v>93</v>
      </c>
      <c r="H31" s="8">
        <v>2.68</v>
      </c>
      <c r="I31" s="12">
        <v>0</v>
      </c>
    </row>
    <row r="32" spans="2:9" ht="15" customHeight="1" x14ac:dyDescent="0.2">
      <c r="B32" t="s">
        <v>102</v>
      </c>
      <c r="C32" s="12">
        <v>169</v>
      </c>
      <c r="D32" s="8">
        <v>3.22</v>
      </c>
      <c r="E32" s="12">
        <v>33</v>
      </c>
      <c r="F32" s="8">
        <v>1.88</v>
      </c>
      <c r="G32" s="12">
        <v>136</v>
      </c>
      <c r="H32" s="8">
        <v>3.92</v>
      </c>
      <c r="I32" s="12">
        <v>0</v>
      </c>
    </row>
    <row r="33" spans="2:9" ht="15" customHeight="1" x14ac:dyDescent="0.2">
      <c r="B33" t="s">
        <v>96</v>
      </c>
      <c r="C33" s="12">
        <v>168</v>
      </c>
      <c r="D33" s="8">
        <v>3.2</v>
      </c>
      <c r="E33" s="12">
        <v>15</v>
      </c>
      <c r="F33" s="8">
        <v>0.86</v>
      </c>
      <c r="G33" s="12">
        <v>153</v>
      </c>
      <c r="H33" s="8">
        <v>4.41</v>
      </c>
      <c r="I33" s="12">
        <v>0</v>
      </c>
    </row>
    <row r="34" spans="2:9" ht="15" customHeight="1" x14ac:dyDescent="0.2">
      <c r="B34" t="s">
        <v>95</v>
      </c>
      <c r="C34" s="12">
        <v>158</v>
      </c>
      <c r="D34" s="8">
        <v>3.01</v>
      </c>
      <c r="E34" s="12">
        <v>14</v>
      </c>
      <c r="F34" s="8">
        <v>0.8</v>
      </c>
      <c r="G34" s="12">
        <v>143</v>
      </c>
      <c r="H34" s="8">
        <v>4.12</v>
      </c>
      <c r="I34" s="12">
        <v>1</v>
      </c>
    </row>
    <row r="35" spans="2:9" ht="15" customHeight="1" x14ac:dyDescent="0.2">
      <c r="B35" t="s">
        <v>112</v>
      </c>
      <c r="C35" s="12">
        <v>158</v>
      </c>
      <c r="D35" s="8">
        <v>3.01</v>
      </c>
      <c r="E35" s="12">
        <v>85</v>
      </c>
      <c r="F35" s="8">
        <v>4.8499999999999996</v>
      </c>
      <c r="G35" s="12">
        <v>67</v>
      </c>
      <c r="H35" s="8">
        <v>1.93</v>
      </c>
      <c r="I35" s="12">
        <v>5</v>
      </c>
    </row>
    <row r="36" spans="2:9" ht="15" customHeight="1" x14ac:dyDescent="0.2">
      <c r="B36" t="s">
        <v>99</v>
      </c>
      <c r="C36" s="12">
        <v>144</v>
      </c>
      <c r="D36" s="8">
        <v>2.75</v>
      </c>
      <c r="E36" s="12">
        <v>6</v>
      </c>
      <c r="F36" s="8">
        <v>0.34</v>
      </c>
      <c r="G36" s="12">
        <v>138</v>
      </c>
      <c r="H36" s="8">
        <v>3.97</v>
      </c>
      <c r="I36" s="12">
        <v>0</v>
      </c>
    </row>
    <row r="37" spans="2:9" ht="15" customHeight="1" x14ac:dyDescent="0.2">
      <c r="B37" t="s">
        <v>101</v>
      </c>
      <c r="C37" s="12">
        <v>137</v>
      </c>
      <c r="D37" s="8">
        <v>2.61</v>
      </c>
      <c r="E37" s="12">
        <v>17</v>
      </c>
      <c r="F37" s="8">
        <v>0.97</v>
      </c>
      <c r="G37" s="12">
        <v>120</v>
      </c>
      <c r="H37" s="8">
        <v>3.46</v>
      </c>
      <c r="I37" s="12">
        <v>0</v>
      </c>
    </row>
    <row r="38" spans="2:9" ht="15" customHeight="1" x14ac:dyDescent="0.2">
      <c r="B38" t="s">
        <v>94</v>
      </c>
      <c r="C38" s="12">
        <v>131</v>
      </c>
      <c r="D38" s="8">
        <v>2.5</v>
      </c>
      <c r="E38" s="12">
        <v>20</v>
      </c>
      <c r="F38" s="8">
        <v>1.1399999999999999</v>
      </c>
      <c r="G38" s="12">
        <v>111</v>
      </c>
      <c r="H38" s="8">
        <v>3.2</v>
      </c>
      <c r="I38" s="12">
        <v>0</v>
      </c>
    </row>
    <row r="39" spans="2:9" ht="15" customHeight="1" x14ac:dyDescent="0.2">
      <c r="B39" t="s">
        <v>114</v>
      </c>
      <c r="C39" s="12">
        <v>118</v>
      </c>
      <c r="D39" s="8">
        <v>2.25</v>
      </c>
      <c r="E39" s="12">
        <v>8</v>
      </c>
      <c r="F39" s="8">
        <v>0.46</v>
      </c>
      <c r="G39" s="12">
        <v>106</v>
      </c>
      <c r="H39" s="8">
        <v>3.05</v>
      </c>
      <c r="I39" s="12">
        <v>3</v>
      </c>
    </row>
    <row r="40" spans="2:9" ht="15" customHeight="1" x14ac:dyDescent="0.2">
      <c r="B40" t="s">
        <v>118</v>
      </c>
      <c r="C40" s="12">
        <v>112</v>
      </c>
      <c r="D40" s="8">
        <v>2.14</v>
      </c>
      <c r="E40" s="12">
        <v>28</v>
      </c>
      <c r="F40" s="8">
        <v>1.6</v>
      </c>
      <c r="G40" s="12">
        <v>84</v>
      </c>
      <c r="H40" s="8">
        <v>2.42</v>
      </c>
      <c r="I40" s="12">
        <v>0</v>
      </c>
    </row>
    <row r="41" spans="2:9" ht="15" customHeight="1" x14ac:dyDescent="0.2">
      <c r="B41" t="s">
        <v>115</v>
      </c>
      <c r="C41" s="12">
        <v>106</v>
      </c>
      <c r="D41" s="8">
        <v>2.02</v>
      </c>
      <c r="E41" s="12">
        <v>19</v>
      </c>
      <c r="F41" s="8">
        <v>1.08</v>
      </c>
      <c r="G41" s="12">
        <v>86</v>
      </c>
      <c r="H41" s="8">
        <v>2.48</v>
      </c>
      <c r="I41" s="12">
        <v>1</v>
      </c>
    </row>
    <row r="42" spans="2:9" ht="15" customHeight="1" x14ac:dyDescent="0.2">
      <c r="B42" t="s">
        <v>109</v>
      </c>
      <c r="C42" s="12">
        <v>92</v>
      </c>
      <c r="D42" s="8">
        <v>1.75</v>
      </c>
      <c r="E42" s="12">
        <v>26</v>
      </c>
      <c r="F42" s="8">
        <v>1.48</v>
      </c>
      <c r="G42" s="12">
        <v>66</v>
      </c>
      <c r="H42" s="8">
        <v>1.9</v>
      </c>
      <c r="I42" s="12">
        <v>0</v>
      </c>
    </row>
    <row r="43" spans="2:9" ht="15" customHeight="1" x14ac:dyDescent="0.2">
      <c r="B43" t="s">
        <v>106</v>
      </c>
      <c r="C43" s="12">
        <v>90</v>
      </c>
      <c r="D43" s="8">
        <v>1.72</v>
      </c>
      <c r="E43" s="12">
        <v>12</v>
      </c>
      <c r="F43" s="8">
        <v>0.68</v>
      </c>
      <c r="G43" s="12">
        <v>78</v>
      </c>
      <c r="H43" s="8">
        <v>2.25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212</v>
      </c>
      <c r="D47" s="8">
        <v>4.04</v>
      </c>
      <c r="E47" s="12">
        <v>44</v>
      </c>
      <c r="F47" s="8">
        <v>2.5099999999999998</v>
      </c>
      <c r="G47" s="12">
        <v>168</v>
      </c>
      <c r="H47" s="8">
        <v>4.84</v>
      </c>
      <c r="I47" s="12">
        <v>0</v>
      </c>
    </row>
    <row r="48" spans="2:9" ht="15" customHeight="1" x14ac:dyDescent="0.2">
      <c r="B48" t="s">
        <v>168</v>
      </c>
      <c r="C48" s="12">
        <v>161</v>
      </c>
      <c r="D48" s="8">
        <v>3.07</v>
      </c>
      <c r="E48" s="12">
        <v>120</v>
      </c>
      <c r="F48" s="8">
        <v>6.84</v>
      </c>
      <c r="G48" s="12">
        <v>41</v>
      </c>
      <c r="H48" s="8">
        <v>1.18</v>
      </c>
      <c r="I48" s="12">
        <v>0</v>
      </c>
    </row>
    <row r="49" spans="2:9" ht="15" customHeight="1" x14ac:dyDescent="0.2">
      <c r="B49" t="s">
        <v>163</v>
      </c>
      <c r="C49" s="12">
        <v>155</v>
      </c>
      <c r="D49" s="8">
        <v>2.96</v>
      </c>
      <c r="E49" s="12">
        <v>86</v>
      </c>
      <c r="F49" s="8">
        <v>4.9000000000000004</v>
      </c>
      <c r="G49" s="12">
        <v>69</v>
      </c>
      <c r="H49" s="8">
        <v>1.99</v>
      </c>
      <c r="I49" s="12">
        <v>0</v>
      </c>
    </row>
    <row r="50" spans="2:9" ht="15" customHeight="1" x14ac:dyDescent="0.2">
      <c r="B50" t="s">
        <v>165</v>
      </c>
      <c r="C50" s="12">
        <v>144</v>
      </c>
      <c r="D50" s="8">
        <v>2.75</v>
      </c>
      <c r="E50" s="12">
        <v>129</v>
      </c>
      <c r="F50" s="8">
        <v>7.35</v>
      </c>
      <c r="G50" s="12">
        <v>15</v>
      </c>
      <c r="H50" s="8">
        <v>0.43</v>
      </c>
      <c r="I50" s="12">
        <v>0</v>
      </c>
    </row>
    <row r="51" spans="2:9" ht="15" customHeight="1" x14ac:dyDescent="0.2">
      <c r="B51" t="s">
        <v>164</v>
      </c>
      <c r="C51" s="12">
        <v>143</v>
      </c>
      <c r="D51" s="8">
        <v>2.73</v>
      </c>
      <c r="E51" s="12">
        <v>94</v>
      </c>
      <c r="F51" s="8">
        <v>5.36</v>
      </c>
      <c r="G51" s="12">
        <v>49</v>
      </c>
      <c r="H51" s="8">
        <v>1.41</v>
      </c>
      <c r="I51" s="12">
        <v>0</v>
      </c>
    </row>
    <row r="52" spans="2:9" ht="15" customHeight="1" x14ac:dyDescent="0.2">
      <c r="B52" t="s">
        <v>160</v>
      </c>
      <c r="C52" s="12">
        <v>130</v>
      </c>
      <c r="D52" s="8">
        <v>2.48</v>
      </c>
      <c r="E52" s="12">
        <v>9</v>
      </c>
      <c r="F52" s="8">
        <v>0.51</v>
      </c>
      <c r="G52" s="12">
        <v>120</v>
      </c>
      <c r="H52" s="8">
        <v>3.46</v>
      </c>
      <c r="I52" s="12">
        <v>1</v>
      </c>
    </row>
    <row r="53" spans="2:9" ht="15" customHeight="1" x14ac:dyDescent="0.2">
      <c r="B53" t="s">
        <v>171</v>
      </c>
      <c r="C53" s="12">
        <v>114</v>
      </c>
      <c r="D53" s="8">
        <v>2.17</v>
      </c>
      <c r="E53" s="12">
        <v>97</v>
      </c>
      <c r="F53" s="8">
        <v>5.53</v>
      </c>
      <c r="G53" s="12">
        <v>17</v>
      </c>
      <c r="H53" s="8">
        <v>0.49</v>
      </c>
      <c r="I53" s="12">
        <v>0</v>
      </c>
    </row>
    <row r="54" spans="2:9" ht="15" customHeight="1" x14ac:dyDescent="0.2">
      <c r="B54" t="s">
        <v>170</v>
      </c>
      <c r="C54" s="12">
        <v>105</v>
      </c>
      <c r="D54" s="8">
        <v>2</v>
      </c>
      <c r="E54" s="12">
        <v>71</v>
      </c>
      <c r="F54" s="8">
        <v>4.05</v>
      </c>
      <c r="G54" s="12">
        <v>32</v>
      </c>
      <c r="H54" s="8">
        <v>0.92</v>
      </c>
      <c r="I54" s="12">
        <v>2</v>
      </c>
    </row>
    <row r="55" spans="2:9" ht="15" customHeight="1" x14ac:dyDescent="0.2">
      <c r="B55" t="s">
        <v>175</v>
      </c>
      <c r="C55" s="12">
        <v>92</v>
      </c>
      <c r="D55" s="8">
        <v>1.75</v>
      </c>
      <c r="E55" s="12">
        <v>81</v>
      </c>
      <c r="F55" s="8">
        <v>4.62</v>
      </c>
      <c r="G55" s="12">
        <v>11</v>
      </c>
      <c r="H55" s="8">
        <v>0.32</v>
      </c>
      <c r="I55" s="12">
        <v>0</v>
      </c>
    </row>
    <row r="56" spans="2:9" ht="15" customHeight="1" x14ac:dyDescent="0.2">
      <c r="B56" t="s">
        <v>180</v>
      </c>
      <c r="C56" s="12">
        <v>88</v>
      </c>
      <c r="D56" s="8">
        <v>1.68</v>
      </c>
      <c r="E56" s="12">
        <v>6</v>
      </c>
      <c r="F56" s="8">
        <v>0.34</v>
      </c>
      <c r="G56" s="12">
        <v>78</v>
      </c>
      <c r="H56" s="8">
        <v>2.25</v>
      </c>
      <c r="I56" s="12">
        <v>3</v>
      </c>
    </row>
    <row r="57" spans="2:9" ht="15" customHeight="1" x14ac:dyDescent="0.2">
      <c r="B57" t="s">
        <v>190</v>
      </c>
      <c r="C57" s="12">
        <v>84</v>
      </c>
      <c r="D57" s="8">
        <v>1.6</v>
      </c>
      <c r="E57" s="12">
        <v>2</v>
      </c>
      <c r="F57" s="8">
        <v>0.11</v>
      </c>
      <c r="G57" s="12">
        <v>82</v>
      </c>
      <c r="H57" s="8">
        <v>2.36</v>
      </c>
      <c r="I57" s="12">
        <v>0</v>
      </c>
    </row>
    <row r="58" spans="2:9" ht="15" customHeight="1" x14ac:dyDescent="0.2">
      <c r="B58" t="s">
        <v>158</v>
      </c>
      <c r="C58" s="12">
        <v>83</v>
      </c>
      <c r="D58" s="8">
        <v>1.58</v>
      </c>
      <c r="E58" s="12">
        <v>42</v>
      </c>
      <c r="F58" s="8">
        <v>2.39</v>
      </c>
      <c r="G58" s="12">
        <v>41</v>
      </c>
      <c r="H58" s="8">
        <v>1.18</v>
      </c>
      <c r="I58" s="12">
        <v>0</v>
      </c>
    </row>
    <row r="59" spans="2:9" ht="15" customHeight="1" x14ac:dyDescent="0.2">
      <c r="B59" t="s">
        <v>167</v>
      </c>
      <c r="C59" s="12">
        <v>82</v>
      </c>
      <c r="D59" s="8">
        <v>1.56</v>
      </c>
      <c r="E59" s="12">
        <v>79</v>
      </c>
      <c r="F59" s="8">
        <v>4.5</v>
      </c>
      <c r="G59" s="12">
        <v>3</v>
      </c>
      <c r="H59" s="8">
        <v>0.09</v>
      </c>
      <c r="I59" s="12">
        <v>0</v>
      </c>
    </row>
    <row r="60" spans="2:9" ht="15" customHeight="1" x14ac:dyDescent="0.2">
      <c r="B60" t="s">
        <v>186</v>
      </c>
      <c r="C60" s="12">
        <v>80</v>
      </c>
      <c r="D60" s="8">
        <v>1.53</v>
      </c>
      <c r="E60" s="12">
        <v>31</v>
      </c>
      <c r="F60" s="8">
        <v>1.77</v>
      </c>
      <c r="G60" s="12">
        <v>49</v>
      </c>
      <c r="H60" s="8">
        <v>1.41</v>
      </c>
      <c r="I60" s="12">
        <v>0</v>
      </c>
    </row>
    <row r="61" spans="2:9" ht="15" customHeight="1" x14ac:dyDescent="0.2">
      <c r="B61" t="s">
        <v>189</v>
      </c>
      <c r="C61" s="12">
        <v>79</v>
      </c>
      <c r="D61" s="8">
        <v>1.51</v>
      </c>
      <c r="E61" s="12">
        <v>1</v>
      </c>
      <c r="F61" s="8">
        <v>0.06</v>
      </c>
      <c r="G61" s="12">
        <v>78</v>
      </c>
      <c r="H61" s="8">
        <v>2.25</v>
      </c>
      <c r="I61" s="12">
        <v>0</v>
      </c>
    </row>
    <row r="62" spans="2:9" ht="15" customHeight="1" x14ac:dyDescent="0.2">
      <c r="B62" t="s">
        <v>173</v>
      </c>
      <c r="C62" s="12">
        <v>77</v>
      </c>
      <c r="D62" s="8">
        <v>1.47</v>
      </c>
      <c r="E62" s="12">
        <v>6</v>
      </c>
      <c r="F62" s="8">
        <v>0.34</v>
      </c>
      <c r="G62" s="12">
        <v>71</v>
      </c>
      <c r="H62" s="8">
        <v>2.04</v>
      </c>
      <c r="I62" s="12">
        <v>0</v>
      </c>
    </row>
    <row r="63" spans="2:9" ht="15" customHeight="1" x14ac:dyDescent="0.2">
      <c r="B63" t="s">
        <v>191</v>
      </c>
      <c r="C63" s="12">
        <v>74</v>
      </c>
      <c r="D63" s="8">
        <v>1.41</v>
      </c>
      <c r="E63" s="12">
        <v>17</v>
      </c>
      <c r="F63" s="8">
        <v>0.97</v>
      </c>
      <c r="G63" s="12">
        <v>57</v>
      </c>
      <c r="H63" s="8">
        <v>1.64</v>
      </c>
      <c r="I63" s="12">
        <v>0</v>
      </c>
    </row>
    <row r="64" spans="2:9" ht="15" customHeight="1" x14ac:dyDescent="0.2">
      <c r="B64" t="s">
        <v>157</v>
      </c>
      <c r="C64" s="12">
        <v>71</v>
      </c>
      <c r="D64" s="8">
        <v>1.35</v>
      </c>
      <c r="E64" s="12">
        <v>19</v>
      </c>
      <c r="F64" s="8">
        <v>1.08</v>
      </c>
      <c r="G64" s="12">
        <v>52</v>
      </c>
      <c r="H64" s="8">
        <v>1.5</v>
      </c>
      <c r="I64" s="12">
        <v>0</v>
      </c>
    </row>
    <row r="65" spans="2:9" ht="15" customHeight="1" x14ac:dyDescent="0.2">
      <c r="B65" t="s">
        <v>178</v>
      </c>
      <c r="C65" s="12">
        <v>69</v>
      </c>
      <c r="D65" s="8">
        <v>1.32</v>
      </c>
      <c r="E65" s="12">
        <v>5</v>
      </c>
      <c r="F65" s="8">
        <v>0.28999999999999998</v>
      </c>
      <c r="G65" s="12">
        <v>63</v>
      </c>
      <c r="H65" s="8">
        <v>1.81</v>
      </c>
      <c r="I65" s="12">
        <v>1</v>
      </c>
    </row>
    <row r="66" spans="2:9" ht="15" customHeight="1" x14ac:dyDescent="0.2">
      <c r="B66" t="s">
        <v>192</v>
      </c>
      <c r="C66" s="12">
        <v>69</v>
      </c>
      <c r="D66" s="8">
        <v>1.32</v>
      </c>
      <c r="E66" s="12">
        <v>14</v>
      </c>
      <c r="F66" s="8">
        <v>0.8</v>
      </c>
      <c r="G66" s="12">
        <v>55</v>
      </c>
      <c r="H66" s="8">
        <v>1.58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ADB9-7024-4ABE-8838-F5A73CB610B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287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378</v>
      </c>
      <c r="D6" s="8">
        <v>4.22</v>
      </c>
      <c r="E6" s="12">
        <v>9</v>
      </c>
      <c r="F6" s="8">
        <v>0.31</v>
      </c>
      <c r="G6" s="12">
        <v>369</v>
      </c>
      <c r="H6" s="8">
        <v>6.16</v>
      </c>
      <c r="I6" s="12">
        <v>0</v>
      </c>
    </row>
    <row r="7" spans="2:9" ht="15" customHeight="1" x14ac:dyDescent="0.2">
      <c r="B7" t="s">
        <v>73</v>
      </c>
      <c r="C7" s="12">
        <v>345</v>
      </c>
      <c r="D7" s="8">
        <v>3.85</v>
      </c>
      <c r="E7" s="12">
        <v>72</v>
      </c>
      <c r="F7" s="8">
        <v>2.4500000000000002</v>
      </c>
      <c r="G7" s="12">
        <v>273</v>
      </c>
      <c r="H7" s="8">
        <v>4.5599999999999996</v>
      </c>
      <c r="I7" s="12">
        <v>0</v>
      </c>
    </row>
    <row r="8" spans="2:9" ht="15" customHeight="1" x14ac:dyDescent="0.2">
      <c r="B8" t="s">
        <v>74</v>
      </c>
      <c r="C8" s="12">
        <v>12</v>
      </c>
      <c r="D8" s="8">
        <v>0.13</v>
      </c>
      <c r="E8" s="12">
        <v>0</v>
      </c>
      <c r="F8" s="8">
        <v>0</v>
      </c>
      <c r="G8" s="12">
        <v>12</v>
      </c>
      <c r="H8" s="8">
        <v>0.2</v>
      </c>
      <c r="I8" s="12">
        <v>0</v>
      </c>
    </row>
    <row r="9" spans="2:9" ht="15" customHeight="1" x14ac:dyDescent="0.2">
      <c r="B9" t="s">
        <v>75</v>
      </c>
      <c r="C9" s="12">
        <v>362</v>
      </c>
      <c r="D9" s="8">
        <v>4.04</v>
      </c>
      <c r="E9" s="12">
        <v>14</v>
      </c>
      <c r="F9" s="8">
        <v>0.48</v>
      </c>
      <c r="G9" s="12">
        <v>347</v>
      </c>
      <c r="H9" s="8">
        <v>5.79</v>
      </c>
      <c r="I9" s="12">
        <v>1</v>
      </c>
    </row>
    <row r="10" spans="2:9" ht="15" customHeight="1" x14ac:dyDescent="0.2">
      <c r="B10" t="s">
        <v>76</v>
      </c>
      <c r="C10" s="12">
        <v>65</v>
      </c>
      <c r="D10" s="8">
        <v>0.73</v>
      </c>
      <c r="E10" s="12">
        <v>1</v>
      </c>
      <c r="F10" s="8">
        <v>0.03</v>
      </c>
      <c r="G10" s="12">
        <v>63</v>
      </c>
      <c r="H10" s="8">
        <v>1.05</v>
      </c>
      <c r="I10" s="12">
        <v>1</v>
      </c>
    </row>
    <row r="11" spans="2:9" ht="15" customHeight="1" x14ac:dyDescent="0.2">
      <c r="B11" t="s">
        <v>77</v>
      </c>
      <c r="C11" s="12">
        <v>2264</v>
      </c>
      <c r="D11" s="8">
        <v>25.29</v>
      </c>
      <c r="E11" s="12">
        <v>395</v>
      </c>
      <c r="F11" s="8">
        <v>13.44</v>
      </c>
      <c r="G11" s="12">
        <v>1866</v>
      </c>
      <c r="H11" s="8">
        <v>31.15</v>
      </c>
      <c r="I11" s="12">
        <v>3</v>
      </c>
    </row>
    <row r="12" spans="2:9" ht="15" customHeight="1" x14ac:dyDescent="0.2">
      <c r="B12" t="s">
        <v>78</v>
      </c>
      <c r="C12" s="12">
        <v>124</v>
      </c>
      <c r="D12" s="8">
        <v>1.39</v>
      </c>
      <c r="E12" s="12">
        <v>0</v>
      </c>
      <c r="F12" s="8">
        <v>0</v>
      </c>
      <c r="G12" s="12">
        <v>123</v>
      </c>
      <c r="H12" s="8">
        <v>2.0499999999999998</v>
      </c>
      <c r="I12" s="12">
        <v>1</v>
      </c>
    </row>
    <row r="13" spans="2:9" ht="15" customHeight="1" x14ac:dyDescent="0.2">
      <c r="B13" t="s">
        <v>79</v>
      </c>
      <c r="C13" s="12">
        <v>991</v>
      </c>
      <c r="D13" s="8">
        <v>11.07</v>
      </c>
      <c r="E13" s="12">
        <v>63</v>
      </c>
      <c r="F13" s="8">
        <v>2.14</v>
      </c>
      <c r="G13" s="12">
        <v>926</v>
      </c>
      <c r="H13" s="8">
        <v>15.46</v>
      </c>
      <c r="I13" s="12">
        <v>2</v>
      </c>
    </row>
    <row r="14" spans="2:9" ht="15" customHeight="1" x14ac:dyDescent="0.2">
      <c r="B14" t="s">
        <v>80</v>
      </c>
      <c r="C14" s="12">
        <v>1282</v>
      </c>
      <c r="D14" s="8">
        <v>14.32</v>
      </c>
      <c r="E14" s="12">
        <v>638</v>
      </c>
      <c r="F14" s="8">
        <v>21.72</v>
      </c>
      <c r="G14" s="12">
        <v>640</v>
      </c>
      <c r="H14" s="8">
        <v>10.68</v>
      </c>
      <c r="I14" s="12">
        <v>4</v>
      </c>
    </row>
    <row r="15" spans="2:9" ht="15" customHeight="1" x14ac:dyDescent="0.2">
      <c r="B15" t="s">
        <v>81</v>
      </c>
      <c r="C15" s="12">
        <v>1653</v>
      </c>
      <c r="D15" s="8">
        <v>18.46</v>
      </c>
      <c r="E15" s="12">
        <v>1158</v>
      </c>
      <c r="F15" s="8">
        <v>39.409999999999997</v>
      </c>
      <c r="G15" s="12">
        <v>495</v>
      </c>
      <c r="H15" s="8">
        <v>8.26</v>
      </c>
      <c r="I15" s="12">
        <v>0</v>
      </c>
    </row>
    <row r="16" spans="2:9" ht="15" customHeight="1" x14ac:dyDescent="0.2">
      <c r="B16" t="s">
        <v>82</v>
      </c>
      <c r="C16" s="12">
        <v>656</v>
      </c>
      <c r="D16" s="8">
        <v>7.33</v>
      </c>
      <c r="E16" s="12">
        <v>304</v>
      </c>
      <c r="F16" s="8">
        <v>10.35</v>
      </c>
      <c r="G16" s="12">
        <v>351</v>
      </c>
      <c r="H16" s="8">
        <v>5.86</v>
      </c>
      <c r="I16" s="12">
        <v>1</v>
      </c>
    </row>
    <row r="17" spans="2:9" ht="15" customHeight="1" x14ac:dyDescent="0.2">
      <c r="B17" t="s">
        <v>83</v>
      </c>
      <c r="C17" s="12">
        <v>224</v>
      </c>
      <c r="D17" s="8">
        <v>2.5</v>
      </c>
      <c r="E17" s="12">
        <v>92</v>
      </c>
      <c r="F17" s="8">
        <v>3.13</v>
      </c>
      <c r="G17" s="12">
        <v>127</v>
      </c>
      <c r="H17" s="8">
        <v>2.12</v>
      </c>
      <c r="I17" s="12">
        <v>4</v>
      </c>
    </row>
    <row r="18" spans="2:9" ht="15" customHeight="1" x14ac:dyDescent="0.2">
      <c r="B18" t="s">
        <v>84</v>
      </c>
      <c r="C18" s="12">
        <v>259</v>
      </c>
      <c r="D18" s="8">
        <v>2.89</v>
      </c>
      <c r="E18" s="12">
        <v>157</v>
      </c>
      <c r="F18" s="8">
        <v>5.34</v>
      </c>
      <c r="G18" s="12">
        <v>102</v>
      </c>
      <c r="H18" s="8">
        <v>1.7</v>
      </c>
      <c r="I18" s="12">
        <v>0</v>
      </c>
    </row>
    <row r="19" spans="2:9" ht="15" customHeight="1" x14ac:dyDescent="0.2">
      <c r="B19" t="s">
        <v>85</v>
      </c>
      <c r="C19" s="12">
        <v>338</v>
      </c>
      <c r="D19" s="8">
        <v>3.78</v>
      </c>
      <c r="E19" s="12">
        <v>35</v>
      </c>
      <c r="F19" s="8">
        <v>1.19</v>
      </c>
      <c r="G19" s="12">
        <v>296</v>
      </c>
      <c r="H19" s="8">
        <v>4.9400000000000004</v>
      </c>
      <c r="I19" s="12">
        <v>5</v>
      </c>
    </row>
    <row r="20" spans="2:9" ht="15" customHeight="1" x14ac:dyDescent="0.2">
      <c r="B20" s="9" t="s">
        <v>277</v>
      </c>
      <c r="C20" s="12">
        <f>SUM(LTBL_23106[総数／事業所数])</f>
        <v>8953</v>
      </c>
      <c r="E20" s="12">
        <f>SUBTOTAL(109,LTBL_23106[個人／事業所数])</f>
        <v>2938</v>
      </c>
      <c r="G20" s="12">
        <f>SUBTOTAL(109,LTBL_23106[法人／事業所数])</f>
        <v>5990</v>
      </c>
      <c r="I20" s="12">
        <f>SUBTOTAL(109,LTBL_23106[法人以外の団体／事業所数])</f>
        <v>22</v>
      </c>
    </row>
    <row r="21" spans="2:9" ht="15" customHeight="1" x14ac:dyDescent="0.2">
      <c r="E21" s="11">
        <f>LTBL_23106[[#Totals],[個人／事業所数]]/LTBL_23106[[#Totals],[総数／事業所数]]</f>
        <v>0.32815815927622027</v>
      </c>
      <c r="G21" s="11">
        <f>LTBL_23106[[#Totals],[法人／事業所数]]/LTBL_23106[[#Totals],[総数／事業所数]]</f>
        <v>0.66904948062102088</v>
      </c>
      <c r="I21" s="11">
        <f>LTBL_23106[[#Totals],[法人以外の団体／事業所数]]/LTBL_23106[[#Totals],[総数／事業所数]]</f>
        <v>2.4572768904277897E-3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1600</v>
      </c>
      <c r="D24" s="8">
        <v>17.87</v>
      </c>
      <c r="E24" s="12">
        <v>1148</v>
      </c>
      <c r="F24" s="8">
        <v>39.07</v>
      </c>
      <c r="G24" s="12">
        <v>452</v>
      </c>
      <c r="H24" s="8">
        <v>7.55</v>
      </c>
      <c r="I24" s="12">
        <v>0</v>
      </c>
    </row>
    <row r="25" spans="2:9" ht="15" customHeight="1" x14ac:dyDescent="0.2">
      <c r="B25" t="s">
        <v>108</v>
      </c>
      <c r="C25" s="12">
        <v>954</v>
      </c>
      <c r="D25" s="8">
        <v>10.66</v>
      </c>
      <c r="E25" s="12">
        <v>598</v>
      </c>
      <c r="F25" s="8">
        <v>20.350000000000001</v>
      </c>
      <c r="G25" s="12">
        <v>354</v>
      </c>
      <c r="H25" s="8">
        <v>5.91</v>
      </c>
      <c r="I25" s="12">
        <v>2</v>
      </c>
    </row>
    <row r="26" spans="2:9" ht="15" customHeight="1" x14ac:dyDescent="0.2">
      <c r="B26" t="s">
        <v>107</v>
      </c>
      <c r="C26" s="12">
        <v>739</v>
      </c>
      <c r="D26" s="8">
        <v>8.25</v>
      </c>
      <c r="E26" s="12">
        <v>55</v>
      </c>
      <c r="F26" s="8">
        <v>1.87</v>
      </c>
      <c r="G26" s="12">
        <v>682</v>
      </c>
      <c r="H26" s="8">
        <v>11.39</v>
      </c>
      <c r="I26" s="12">
        <v>2</v>
      </c>
    </row>
    <row r="27" spans="2:9" ht="15" customHeight="1" x14ac:dyDescent="0.2">
      <c r="B27" t="s">
        <v>105</v>
      </c>
      <c r="C27" s="12">
        <v>481</v>
      </c>
      <c r="D27" s="8">
        <v>5.37</v>
      </c>
      <c r="E27" s="12">
        <v>183</v>
      </c>
      <c r="F27" s="8">
        <v>6.23</v>
      </c>
      <c r="G27" s="12">
        <v>298</v>
      </c>
      <c r="H27" s="8">
        <v>4.97</v>
      </c>
      <c r="I27" s="12">
        <v>0</v>
      </c>
    </row>
    <row r="28" spans="2:9" ht="15" customHeight="1" x14ac:dyDescent="0.2">
      <c r="B28" t="s">
        <v>111</v>
      </c>
      <c r="C28" s="12">
        <v>446</v>
      </c>
      <c r="D28" s="8">
        <v>4.9800000000000004</v>
      </c>
      <c r="E28" s="12">
        <v>255</v>
      </c>
      <c r="F28" s="8">
        <v>8.68</v>
      </c>
      <c r="G28" s="12">
        <v>191</v>
      </c>
      <c r="H28" s="8">
        <v>3.19</v>
      </c>
      <c r="I28" s="12">
        <v>0</v>
      </c>
    </row>
    <row r="29" spans="2:9" ht="15" customHeight="1" x14ac:dyDescent="0.2">
      <c r="B29" t="s">
        <v>102</v>
      </c>
      <c r="C29" s="12">
        <v>435</v>
      </c>
      <c r="D29" s="8">
        <v>4.8600000000000003</v>
      </c>
      <c r="E29" s="12">
        <v>86</v>
      </c>
      <c r="F29" s="8">
        <v>2.93</v>
      </c>
      <c r="G29" s="12">
        <v>349</v>
      </c>
      <c r="H29" s="8">
        <v>5.83</v>
      </c>
      <c r="I29" s="12">
        <v>0</v>
      </c>
    </row>
    <row r="30" spans="2:9" ht="15" customHeight="1" x14ac:dyDescent="0.2">
      <c r="B30" t="s">
        <v>100</v>
      </c>
      <c r="C30" s="12">
        <v>310</v>
      </c>
      <c r="D30" s="8">
        <v>3.46</v>
      </c>
      <c r="E30" s="12">
        <v>6</v>
      </c>
      <c r="F30" s="8">
        <v>0.2</v>
      </c>
      <c r="G30" s="12">
        <v>304</v>
      </c>
      <c r="H30" s="8">
        <v>5.08</v>
      </c>
      <c r="I30" s="12">
        <v>0</v>
      </c>
    </row>
    <row r="31" spans="2:9" ht="15" customHeight="1" x14ac:dyDescent="0.2">
      <c r="B31" t="s">
        <v>99</v>
      </c>
      <c r="C31" s="12">
        <v>266</v>
      </c>
      <c r="D31" s="8">
        <v>2.97</v>
      </c>
      <c r="E31" s="12">
        <v>6</v>
      </c>
      <c r="F31" s="8">
        <v>0.2</v>
      </c>
      <c r="G31" s="12">
        <v>260</v>
      </c>
      <c r="H31" s="8">
        <v>4.34</v>
      </c>
      <c r="I31" s="12">
        <v>0</v>
      </c>
    </row>
    <row r="32" spans="2:9" ht="15" customHeight="1" x14ac:dyDescent="0.2">
      <c r="B32" t="s">
        <v>101</v>
      </c>
      <c r="C32" s="12">
        <v>253</v>
      </c>
      <c r="D32" s="8">
        <v>2.83</v>
      </c>
      <c r="E32" s="12">
        <v>19</v>
      </c>
      <c r="F32" s="8">
        <v>0.65</v>
      </c>
      <c r="G32" s="12">
        <v>234</v>
      </c>
      <c r="H32" s="8">
        <v>3.91</v>
      </c>
      <c r="I32" s="12">
        <v>0</v>
      </c>
    </row>
    <row r="33" spans="2:9" ht="15" customHeight="1" x14ac:dyDescent="0.2">
      <c r="B33" t="s">
        <v>109</v>
      </c>
      <c r="C33" s="12">
        <v>234</v>
      </c>
      <c r="D33" s="8">
        <v>2.61</v>
      </c>
      <c r="E33" s="12">
        <v>37</v>
      </c>
      <c r="F33" s="8">
        <v>1.26</v>
      </c>
      <c r="G33" s="12">
        <v>196</v>
      </c>
      <c r="H33" s="8">
        <v>3.27</v>
      </c>
      <c r="I33" s="12">
        <v>1</v>
      </c>
    </row>
    <row r="34" spans="2:9" ht="15" customHeight="1" x14ac:dyDescent="0.2">
      <c r="B34" t="s">
        <v>112</v>
      </c>
      <c r="C34" s="12">
        <v>224</v>
      </c>
      <c r="D34" s="8">
        <v>2.5</v>
      </c>
      <c r="E34" s="12">
        <v>92</v>
      </c>
      <c r="F34" s="8">
        <v>3.13</v>
      </c>
      <c r="G34" s="12">
        <v>127</v>
      </c>
      <c r="H34" s="8">
        <v>2.12</v>
      </c>
      <c r="I34" s="12">
        <v>4</v>
      </c>
    </row>
    <row r="35" spans="2:9" ht="15" customHeight="1" x14ac:dyDescent="0.2">
      <c r="B35" t="s">
        <v>114</v>
      </c>
      <c r="C35" s="12">
        <v>212</v>
      </c>
      <c r="D35" s="8">
        <v>2.37</v>
      </c>
      <c r="E35" s="12">
        <v>18</v>
      </c>
      <c r="F35" s="8">
        <v>0.61</v>
      </c>
      <c r="G35" s="12">
        <v>188</v>
      </c>
      <c r="H35" s="8">
        <v>3.14</v>
      </c>
      <c r="I35" s="12">
        <v>4</v>
      </c>
    </row>
    <row r="36" spans="2:9" ht="15" customHeight="1" x14ac:dyDescent="0.2">
      <c r="B36" t="s">
        <v>113</v>
      </c>
      <c r="C36" s="12">
        <v>205</v>
      </c>
      <c r="D36" s="8">
        <v>2.29</v>
      </c>
      <c r="E36" s="12">
        <v>157</v>
      </c>
      <c r="F36" s="8">
        <v>5.34</v>
      </c>
      <c r="G36" s="12">
        <v>48</v>
      </c>
      <c r="H36" s="8">
        <v>0.8</v>
      </c>
      <c r="I36" s="12">
        <v>0</v>
      </c>
    </row>
    <row r="37" spans="2:9" ht="15" customHeight="1" x14ac:dyDescent="0.2">
      <c r="B37" t="s">
        <v>119</v>
      </c>
      <c r="C37" s="12">
        <v>202</v>
      </c>
      <c r="D37" s="8">
        <v>2.2599999999999998</v>
      </c>
      <c r="E37" s="12">
        <v>3</v>
      </c>
      <c r="F37" s="8">
        <v>0.1</v>
      </c>
      <c r="G37" s="12">
        <v>199</v>
      </c>
      <c r="H37" s="8">
        <v>3.32</v>
      </c>
      <c r="I37" s="12">
        <v>0</v>
      </c>
    </row>
    <row r="38" spans="2:9" ht="15" customHeight="1" x14ac:dyDescent="0.2">
      <c r="B38" t="s">
        <v>106</v>
      </c>
      <c r="C38" s="12">
        <v>198</v>
      </c>
      <c r="D38" s="8">
        <v>2.21</v>
      </c>
      <c r="E38" s="12">
        <v>8</v>
      </c>
      <c r="F38" s="8">
        <v>0.27</v>
      </c>
      <c r="G38" s="12">
        <v>190</v>
      </c>
      <c r="H38" s="8">
        <v>3.17</v>
      </c>
      <c r="I38" s="12">
        <v>0</v>
      </c>
    </row>
    <row r="39" spans="2:9" ht="15" customHeight="1" x14ac:dyDescent="0.2">
      <c r="B39" t="s">
        <v>103</v>
      </c>
      <c r="C39" s="12">
        <v>144</v>
      </c>
      <c r="D39" s="8">
        <v>1.61</v>
      </c>
      <c r="E39" s="12">
        <v>55</v>
      </c>
      <c r="F39" s="8">
        <v>1.87</v>
      </c>
      <c r="G39" s="12">
        <v>87</v>
      </c>
      <c r="H39" s="8">
        <v>1.45</v>
      </c>
      <c r="I39" s="12">
        <v>2</v>
      </c>
    </row>
    <row r="40" spans="2:9" ht="15" customHeight="1" x14ac:dyDescent="0.2">
      <c r="B40" t="s">
        <v>94</v>
      </c>
      <c r="C40" s="12">
        <v>141</v>
      </c>
      <c r="D40" s="8">
        <v>1.57</v>
      </c>
      <c r="E40" s="12">
        <v>0</v>
      </c>
      <c r="F40" s="8">
        <v>0</v>
      </c>
      <c r="G40" s="12">
        <v>141</v>
      </c>
      <c r="H40" s="8">
        <v>2.35</v>
      </c>
      <c r="I40" s="12">
        <v>0</v>
      </c>
    </row>
    <row r="41" spans="2:9" ht="15" customHeight="1" x14ac:dyDescent="0.2">
      <c r="B41" t="s">
        <v>115</v>
      </c>
      <c r="C41" s="12">
        <v>136</v>
      </c>
      <c r="D41" s="8">
        <v>1.52</v>
      </c>
      <c r="E41" s="12">
        <v>26</v>
      </c>
      <c r="F41" s="8">
        <v>0.88</v>
      </c>
      <c r="G41" s="12">
        <v>110</v>
      </c>
      <c r="H41" s="8">
        <v>1.84</v>
      </c>
      <c r="I41" s="12">
        <v>0</v>
      </c>
    </row>
    <row r="42" spans="2:9" ht="15" customHeight="1" x14ac:dyDescent="0.2">
      <c r="B42" t="s">
        <v>120</v>
      </c>
      <c r="C42" s="12">
        <v>124</v>
      </c>
      <c r="D42" s="8">
        <v>1.39</v>
      </c>
      <c r="E42" s="12">
        <v>0</v>
      </c>
      <c r="F42" s="8">
        <v>0</v>
      </c>
      <c r="G42" s="12">
        <v>123</v>
      </c>
      <c r="H42" s="8">
        <v>2.0499999999999998</v>
      </c>
      <c r="I42" s="12">
        <v>1</v>
      </c>
    </row>
    <row r="43" spans="2:9" ht="15" customHeight="1" x14ac:dyDescent="0.2">
      <c r="B43" t="s">
        <v>95</v>
      </c>
      <c r="C43" s="12">
        <v>123</v>
      </c>
      <c r="D43" s="8">
        <v>1.37</v>
      </c>
      <c r="E43" s="12">
        <v>7</v>
      </c>
      <c r="F43" s="8">
        <v>0.24</v>
      </c>
      <c r="G43" s="12">
        <v>116</v>
      </c>
      <c r="H43" s="8">
        <v>1.94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176</v>
      </c>
      <c r="C47" s="12">
        <v>602</v>
      </c>
      <c r="D47" s="8">
        <v>6.72</v>
      </c>
      <c r="E47" s="12">
        <v>518</v>
      </c>
      <c r="F47" s="8">
        <v>17.63</v>
      </c>
      <c r="G47" s="12">
        <v>84</v>
      </c>
      <c r="H47" s="8">
        <v>1.4</v>
      </c>
      <c r="I47" s="12">
        <v>0</v>
      </c>
    </row>
    <row r="48" spans="2:9" ht="15" customHeight="1" x14ac:dyDescent="0.2">
      <c r="B48" t="s">
        <v>163</v>
      </c>
      <c r="C48" s="12">
        <v>401</v>
      </c>
      <c r="D48" s="8">
        <v>4.4800000000000004</v>
      </c>
      <c r="E48" s="12">
        <v>242</v>
      </c>
      <c r="F48" s="8">
        <v>8.24</v>
      </c>
      <c r="G48" s="12">
        <v>159</v>
      </c>
      <c r="H48" s="8">
        <v>2.65</v>
      </c>
      <c r="I48" s="12">
        <v>0</v>
      </c>
    </row>
    <row r="49" spans="2:9" ht="15" customHeight="1" x14ac:dyDescent="0.2">
      <c r="B49" t="s">
        <v>181</v>
      </c>
      <c r="C49" s="12">
        <v>333</v>
      </c>
      <c r="D49" s="8">
        <v>3.72</v>
      </c>
      <c r="E49" s="12">
        <v>321</v>
      </c>
      <c r="F49" s="8">
        <v>10.93</v>
      </c>
      <c r="G49" s="12">
        <v>12</v>
      </c>
      <c r="H49" s="8">
        <v>0.2</v>
      </c>
      <c r="I49" s="12">
        <v>0</v>
      </c>
    </row>
    <row r="50" spans="2:9" ht="15" customHeight="1" x14ac:dyDescent="0.2">
      <c r="B50" t="s">
        <v>161</v>
      </c>
      <c r="C50" s="12">
        <v>305</v>
      </c>
      <c r="D50" s="8">
        <v>3.41</v>
      </c>
      <c r="E50" s="12">
        <v>26</v>
      </c>
      <c r="F50" s="8">
        <v>0.88</v>
      </c>
      <c r="G50" s="12">
        <v>279</v>
      </c>
      <c r="H50" s="8">
        <v>4.66</v>
      </c>
      <c r="I50" s="12">
        <v>0</v>
      </c>
    </row>
    <row r="51" spans="2:9" ht="15" customHeight="1" x14ac:dyDescent="0.2">
      <c r="B51" t="s">
        <v>164</v>
      </c>
      <c r="C51" s="12">
        <v>273</v>
      </c>
      <c r="D51" s="8">
        <v>3.05</v>
      </c>
      <c r="E51" s="12">
        <v>195</v>
      </c>
      <c r="F51" s="8">
        <v>6.64</v>
      </c>
      <c r="G51" s="12">
        <v>78</v>
      </c>
      <c r="H51" s="8">
        <v>1.3</v>
      </c>
      <c r="I51" s="12">
        <v>0</v>
      </c>
    </row>
    <row r="52" spans="2:9" ht="15" customHeight="1" x14ac:dyDescent="0.2">
      <c r="B52" t="s">
        <v>160</v>
      </c>
      <c r="C52" s="12">
        <v>254</v>
      </c>
      <c r="D52" s="8">
        <v>2.84</v>
      </c>
      <c r="E52" s="12">
        <v>18</v>
      </c>
      <c r="F52" s="8">
        <v>0.61</v>
      </c>
      <c r="G52" s="12">
        <v>235</v>
      </c>
      <c r="H52" s="8">
        <v>3.92</v>
      </c>
      <c r="I52" s="12">
        <v>1</v>
      </c>
    </row>
    <row r="53" spans="2:9" ht="15" customHeight="1" x14ac:dyDescent="0.2">
      <c r="B53" t="s">
        <v>158</v>
      </c>
      <c r="C53" s="12">
        <v>215</v>
      </c>
      <c r="D53" s="8">
        <v>2.4</v>
      </c>
      <c r="E53" s="12">
        <v>107</v>
      </c>
      <c r="F53" s="8">
        <v>3.64</v>
      </c>
      <c r="G53" s="12">
        <v>108</v>
      </c>
      <c r="H53" s="8">
        <v>1.8</v>
      </c>
      <c r="I53" s="12">
        <v>0</v>
      </c>
    </row>
    <row r="54" spans="2:9" ht="15" customHeight="1" x14ac:dyDescent="0.2">
      <c r="B54" t="s">
        <v>162</v>
      </c>
      <c r="C54" s="12">
        <v>183</v>
      </c>
      <c r="D54" s="8">
        <v>2.04</v>
      </c>
      <c r="E54" s="12">
        <v>33</v>
      </c>
      <c r="F54" s="8">
        <v>1.1200000000000001</v>
      </c>
      <c r="G54" s="12">
        <v>150</v>
      </c>
      <c r="H54" s="8">
        <v>2.5</v>
      </c>
      <c r="I54" s="12">
        <v>0</v>
      </c>
    </row>
    <row r="55" spans="2:9" ht="15" customHeight="1" x14ac:dyDescent="0.2">
      <c r="B55" t="s">
        <v>175</v>
      </c>
      <c r="C55" s="12">
        <v>182</v>
      </c>
      <c r="D55" s="8">
        <v>2.0299999999999998</v>
      </c>
      <c r="E55" s="12">
        <v>155</v>
      </c>
      <c r="F55" s="8">
        <v>5.28</v>
      </c>
      <c r="G55" s="12">
        <v>27</v>
      </c>
      <c r="H55" s="8">
        <v>0.45</v>
      </c>
      <c r="I55" s="12">
        <v>0</v>
      </c>
    </row>
    <row r="56" spans="2:9" ht="15" customHeight="1" x14ac:dyDescent="0.2">
      <c r="B56" t="s">
        <v>168</v>
      </c>
      <c r="C56" s="12">
        <v>182</v>
      </c>
      <c r="D56" s="8">
        <v>2.0299999999999998</v>
      </c>
      <c r="E56" s="12">
        <v>116</v>
      </c>
      <c r="F56" s="8">
        <v>3.95</v>
      </c>
      <c r="G56" s="12">
        <v>66</v>
      </c>
      <c r="H56" s="8">
        <v>1.1000000000000001</v>
      </c>
      <c r="I56" s="12">
        <v>0</v>
      </c>
    </row>
    <row r="57" spans="2:9" ht="15" customHeight="1" x14ac:dyDescent="0.2">
      <c r="B57" t="s">
        <v>189</v>
      </c>
      <c r="C57" s="12">
        <v>168</v>
      </c>
      <c r="D57" s="8">
        <v>1.88</v>
      </c>
      <c r="E57" s="12">
        <v>2</v>
      </c>
      <c r="F57" s="8">
        <v>7.0000000000000007E-2</v>
      </c>
      <c r="G57" s="12">
        <v>166</v>
      </c>
      <c r="H57" s="8">
        <v>2.77</v>
      </c>
      <c r="I57" s="12">
        <v>0</v>
      </c>
    </row>
    <row r="58" spans="2:9" ht="15" customHeight="1" x14ac:dyDescent="0.2">
      <c r="B58" t="s">
        <v>191</v>
      </c>
      <c r="C58" s="12">
        <v>166</v>
      </c>
      <c r="D58" s="8">
        <v>1.85</v>
      </c>
      <c r="E58" s="12">
        <v>38</v>
      </c>
      <c r="F58" s="8">
        <v>1.29</v>
      </c>
      <c r="G58" s="12">
        <v>128</v>
      </c>
      <c r="H58" s="8">
        <v>2.14</v>
      </c>
      <c r="I58" s="12">
        <v>0</v>
      </c>
    </row>
    <row r="59" spans="2:9" ht="15" customHeight="1" x14ac:dyDescent="0.2">
      <c r="B59" t="s">
        <v>180</v>
      </c>
      <c r="C59" s="12">
        <v>155</v>
      </c>
      <c r="D59" s="8">
        <v>1.73</v>
      </c>
      <c r="E59" s="12">
        <v>14</v>
      </c>
      <c r="F59" s="8">
        <v>0.48</v>
      </c>
      <c r="G59" s="12">
        <v>135</v>
      </c>
      <c r="H59" s="8">
        <v>2.25</v>
      </c>
      <c r="I59" s="12">
        <v>4</v>
      </c>
    </row>
    <row r="60" spans="2:9" ht="15" customHeight="1" x14ac:dyDescent="0.2">
      <c r="B60" t="s">
        <v>159</v>
      </c>
      <c r="C60" s="12">
        <v>148</v>
      </c>
      <c r="D60" s="8">
        <v>1.65</v>
      </c>
      <c r="E60" s="12">
        <v>7</v>
      </c>
      <c r="F60" s="8">
        <v>0.24</v>
      </c>
      <c r="G60" s="12">
        <v>141</v>
      </c>
      <c r="H60" s="8">
        <v>2.35</v>
      </c>
      <c r="I60" s="12">
        <v>0</v>
      </c>
    </row>
    <row r="61" spans="2:9" ht="15" customHeight="1" x14ac:dyDescent="0.2">
      <c r="B61" t="s">
        <v>165</v>
      </c>
      <c r="C61" s="12">
        <v>146</v>
      </c>
      <c r="D61" s="8">
        <v>1.63</v>
      </c>
      <c r="E61" s="12">
        <v>109</v>
      </c>
      <c r="F61" s="8">
        <v>3.71</v>
      </c>
      <c r="G61" s="12">
        <v>37</v>
      </c>
      <c r="H61" s="8">
        <v>0.62</v>
      </c>
      <c r="I61" s="12">
        <v>0</v>
      </c>
    </row>
    <row r="62" spans="2:9" ht="15" customHeight="1" x14ac:dyDescent="0.2">
      <c r="B62" t="s">
        <v>170</v>
      </c>
      <c r="C62" s="12">
        <v>144</v>
      </c>
      <c r="D62" s="8">
        <v>1.61</v>
      </c>
      <c r="E62" s="12">
        <v>77</v>
      </c>
      <c r="F62" s="8">
        <v>2.62</v>
      </c>
      <c r="G62" s="12">
        <v>66</v>
      </c>
      <c r="H62" s="8">
        <v>1.1000000000000001</v>
      </c>
      <c r="I62" s="12">
        <v>1</v>
      </c>
    </row>
    <row r="63" spans="2:9" ht="15" customHeight="1" x14ac:dyDescent="0.2">
      <c r="B63" t="s">
        <v>178</v>
      </c>
      <c r="C63" s="12">
        <v>137</v>
      </c>
      <c r="D63" s="8">
        <v>1.53</v>
      </c>
      <c r="E63" s="12">
        <v>12</v>
      </c>
      <c r="F63" s="8">
        <v>0.41</v>
      </c>
      <c r="G63" s="12">
        <v>123</v>
      </c>
      <c r="H63" s="8">
        <v>2.0499999999999998</v>
      </c>
      <c r="I63" s="12">
        <v>2</v>
      </c>
    </row>
    <row r="64" spans="2:9" ht="15" customHeight="1" x14ac:dyDescent="0.2">
      <c r="B64" t="s">
        <v>179</v>
      </c>
      <c r="C64" s="12">
        <v>136</v>
      </c>
      <c r="D64" s="8">
        <v>1.52</v>
      </c>
      <c r="E64" s="12">
        <v>67</v>
      </c>
      <c r="F64" s="8">
        <v>2.2799999999999998</v>
      </c>
      <c r="G64" s="12">
        <v>69</v>
      </c>
      <c r="H64" s="8">
        <v>1.1499999999999999</v>
      </c>
      <c r="I64" s="12">
        <v>0</v>
      </c>
    </row>
    <row r="65" spans="2:9" ht="15" customHeight="1" x14ac:dyDescent="0.2">
      <c r="B65" t="s">
        <v>173</v>
      </c>
      <c r="C65" s="12">
        <v>132</v>
      </c>
      <c r="D65" s="8">
        <v>1.47</v>
      </c>
      <c r="E65" s="12">
        <v>11</v>
      </c>
      <c r="F65" s="8">
        <v>0.37</v>
      </c>
      <c r="G65" s="12">
        <v>121</v>
      </c>
      <c r="H65" s="8">
        <v>2.02</v>
      </c>
      <c r="I65" s="12">
        <v>0</v>
      </c>
    </row>
    <row r="66" spans="2:9" ht="15" customHeight="1" x14ac:dyDescent="0.2">
      <c r="B66" t="s">
        <v>171</v>
      </c>
      <c r="C66" s="12">
        <v>130</v>
      </c>
      <c r="D66" s="8">
        <v>1.45</v>
      </c>
      <c r="E66" s="12">
        <v>97</v>
      </c>
      <c r="F66" s="8">
        <v>3.3</v>
      </c>
      <c r="G66" s="12">
        <v>33</v>
      </c>
      <c r="H66" s="8">
        <v>0.55000000000000004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C5FA-697F-4E8E-9AC5-74DB6E0EAB6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288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233</v>
      </c>
      <c r="D6" s="8">
        <v>7.57</v>
      </c>
      <c r="E6" s="12">
        <v>25</v>
      </c>
      <c r="F6" s="8">
        <v>1.91</v>
      </c>
      <c r="G6" s="12">
        <v>208</v>
      </c>
      <c r="H6" s="8">
        <v>11.76</v>
      </c>
      <c r="I6" s="12">
        <v>0</v>
      </c>
    </row>
    <row r="7" spans="2:9" ht="15" customHeight="1" x14ac:dyDescent="0.2">
      <c r="B7" t="s">
        <v>73</v>
      </c>
      <c r="C7" s="12">
        <v>243</v>
      </c>
      <c r="D7" s="8">
        <v>7.89</v>
      </c>
      <c r="E7" s="12">
        <v>59</v>
      </c>
      <c r="F7" s="8">
        <v>4.51</v>
      </c>
      <c r="G7" s="12">
        <v>184</v>
      </c>
      <c r="H7" s="8">
        <v>10.41</v>
      </c>
      <c r="I7" s="12">
        <v>0</v>
      </c>
    </row>
    <row r="8" spans="2:9" ht="15" customHeight="1" x14ac:dyDescent="0.2">
      <c r="B8" t="s">
        <v>74</v>
      </c>
      <c r="C8" s="12">
        <v>6</v>
      </c>
      <c r="D8" s="8">
        <v>0.19</v>
      </c>
      <c r="E8" s="12">
        <v>0</v>
      </c>
      <c r="F8" s="8">
        <v>0</v>
      </c>
      <c r="G8" s="12">
        <v>6</v>
      </c>
      <c r="H8" s="8">
        <v>0.34</v>
      </c>
      <c r="I8" s="12">
        <v>0</v>
      </c>
    </row>
    <row r="9" spans="2:9" ht="15" customHeight="1" x14ac:dyDescent="0.2">
      <c r="B9" t="s">
        <v>75</v>
      </c>
      <c r="C9" s="12">
        <v>39</v>
      </c>
      <c r="D9" s="8">
        <v>1.27</v>
      </c>
      <c r="E9" s="12">
        <v>5</v>
      </c>
      <c r="F9" s="8">
        <v>0.38</v>
      </c>
      <c r="G9" s="12">
        <v>34</v>
      </c>
      <c r="H9" s="8">
        <v>1.92</v>
      </c>
      <c r="I9" s="12">
        <v>0</v>
      </c>
    </row>
    <row r="10" spans="2:9" ht="15" customHeight="1" x14ac:dyDescent="0.2">
      <c r="B10" t="s">
        <v>76</v>
      </c>
      <c r="C10" s="12">
        <v>7</v>
      </c>
      <c r="D10" s="8">
        <v>0.23</v>
      </c>
      <c r="E10" s="12">
        <v>1</v>
      </c>
      <c r="F10" s="8">
        <v>0.08</v>
      </c>
      <c r="G10" s="12">
        <v>6</v>
      </c>
      <c r="H10" s="8">
        <v>0.34</v>
      </c>
      <c r="I10" s="12">
        <v>0</v>
      </c>
    </row>
    <row r="11" spans="2:9" ht="15" customHeight="1" x14ac:dyDescent="0.2">
      <c r="B11" t="s">
        <v>77</v>
      </c>
      <c r="C11" s="12">
        <v>638</v>
      </c>
      <c r="D11" s="8">
        <v>20.73</v>
      </c>
      <c r="E11" s="12">
        <v>238</v>
      </c>
      <c r="F11" s="8">
        <v>18.21</v>
      </c>
      <c r="G11" s="12">
        <v>400</v>
      </c>
      <c r="H11" s="8">
        <v>22.62</v>
      </c>
      <c r="I11" s="12">
        <v>0</v>
      </c>
    </row>
    <row r="12" spans="2:9" ht="15" customHeight="1" x14ac:dyDescent="0.2">
      <c r="B12" t="s">
        <v>78</v>
      </c>
      <c r="C12" s="12">
        <v>20</v>
      </c>
      <c r="D12" s="8">
        <v>0.65</v>
      </c>
      <c r="E12" s="12">
        <v>1</v>
      </c>
      <c r="F12" s="8">
        <v>0.08</v>
      </c>
      <c r="G12" s="12">
        <v>19</v>
      </c>
      <c r="H12" s="8">
        <v>1.07</v>
      </c>
      <c r="I12" s="12">
        <v>0</v>
      </c>
    </row>
    <row r="13" spans="2:9" ht="15" customHeight="1" x14ac:dyDescent="0.2">
      <c r="B13" t="s">
        <v>79</v>
      </c>
      <c r="C13" s="12">
        <v>584</v>
      </c>
      <c r="D13" s="8">
        <v>18.97</v>
      </c>
      <c r="E13" s="12">
        <v>168</v>
      </c>
      <c r="F13" s="8">
        <v>12.85</v>
      </c>
      <c r="G13" s="12">
        <v>415</v>
      </c>
      <c r="H13" s="8">
        <v>23.47</v>
      </c>
      <c r="I13" s="12">
        <v>1</v>
      </c>
    </row>
    <row r="14" spans="2:9" ht="15" customHeight="1" x14ac:dyDescent="0.2">
      <c r="B14" t="s">
        <v>80</v>
      </c>
      <c r="C14" s="12">
        <v>257</v>
      </c>
      <c r="D14" s="8">
        <v>8.35</v>
      </c>
      <c r="E14" s="12">
        <v>127</v>
      </c>
      <c r="F14" s="8">
        <v>9.7200000000000006</v>
      </c>
      <c r="G14" s="12">
        <v>129</v>
      </c>
      <c r="H14" s="8">
        <v>7.3</v>
      </c>
      <c r="I14" s="12">
        <v>1</v>
      </c>
    </row>
    <row r="15" spans="2:9" ht="15" customHeight="1" x14ac:dyDescent="0.2">
      <c r="B15" t="s">
        <v>81</v>
      </c>
      <c r="C15" s="12">
        <v>374</v>
      </c>
      <c r="D15" s="8">
        <v>12.15</v>
      </c>
      <c r="E15" s="12">
        <v>269</v>
      </c>
      <c r="F15" s="8">
        <v>20.58</v>
      </c>
      <c r="G15" s="12">
        <v>104</v>
      </c>
      <c r="H15" s="8">
        <v>5.88</v>
      </c>
      <c r="I15" s="12">
        <v>0</v>
      </c>
    </row>
    <row r="16" spans="2:9" ht="15" customHeight="1" x14ac:dyDescent="0.2">
      <c r="B16" t="s">
        <v>82</v>
      </c>
      <c r="C16" s="12">
        <v>334</v>
      </c>
      <c r="D16" s="8">
        <v>10.85</v>
      </c>
      <c r="E16" s="12">
        <v>228</v>
      </c>
      <c r="F16" s="8">
        <v>17.440000000000001</v>
      </c>
      <c r="G16" s="12">
        <v>106</v>
      </c>
      <c r="H16" s="8">
        <v>6</v>
      </c>
      <c r="I16" s="12">
        <v>0</v>
      </c>
    </row>
    <row r="17" spans="2:9" ht="15" customHeight="1" x14ac:dyDescent="0.2">
      <c r="B17" t="s">
        <v>83</v>
      </c>
      <c r="C17" s="12">
        <v>124</v>
      </c>
      <c r="D17" s="8">
        <v>4.03</v>
      </c>
      <c r="E17" s="12">
        <v>76</v>
      </c>
      <c r="F17" s="8">
        <v>5.81</v>
      </c>
      <c r="G17" s="12">
        <v>48</v>
      </c>
      <c r="H17" s="8">
        <v>2.71</v>
      </c>
      <c r="I17" s="12">
        <v>0</v>
      </c>
    </row>
    <row r="18" spans="2:9" ht="15" customHeight="1" x14ac:dyDescent="0.2">
      <c r="B18" t="s">
        <v>84</v>
      </c>
      <c r="C18" s="12">
        <v>152</v>
      </c>
      <c r="D18" s="8">
        <v>4.9400000000000004</v>
      </c>
      <c r="E18" s="12">
        <v>96</v>
      </c>
      <c r="F18" s="8">
        <v>7.35</v>
      </c>
      <c r="G18" s="12">
        <v>56</v>
      </c>
      <c r="H18" s="8">
        <v>3.17</v>
      </c>
      <c r="I18" s="12">
        <v>0</v>
      </c>
    </row>
    <row r="19" spans="2:9" ht="15" customHeight="1" x14ac:dyDescent="0.2">
      <c r="B19" t="s">
        <v>85</v>
      </c>
      <c r="C19" s="12">
        <v>67</v>
      </c>
      <c r="D19" s="8">
        <v>2.1800000000000002</v>
      </c>
      <c r="E19" s="12">
        <v>14</v>
      </c>
      <c r="F19" s="8">
        <v>1.07</v>
      </c>
      <c r="G19" s="12">
        <v>53</v>
      </c>
      <c r="H19" s="8">
        <v>3</v>
      </c>
      <c r="I19" s="12">
        <v>0</v>
      </c>
    </row>
    <row r="20" spans="2:9" ht="15" customHeight="1" x14ac:dyDescent="0.2">
      <c r="B20" s="9" t="s">
        <v>277</v>
      </c>
      <c r="C20" s="12">
        <f>SUM(LTBL_23107[総数／事業所数])</f>
        <v>3078</v>
      </c>
      <c r="E20" s="12">
        <f>SUBTOTAL(109,LTBL_23107[個人／事業所数])</f>
        <v>1307</v>
      </c>
      <c r="G20" s="12">
        <f>SUBTOTAL(109,LTBL_23107[法人／事業所数])</f>
        <v>1768</v>
      </c>
      <c r="I20" s="12">
        <f>SUBTOTAL(109,LTBL_23107[法人以外の団体／事業所数])</f>
        <v>2</v>
      </c>
    </row>
    <row r="21" spans="2:9" ht="15" customHeight="1" x14ac:dyDescent="0.2">
      <c r="E21" s="11">
        <f>LTBL_23107[[#Totals],[個人／事業所数]]/LTBL_23107[[#Totals],[総数／事業所数]]</f>
        <v>0.42462638076673165</v>
      </c>
      <c r="G21" s="11">
        <f>LTBL_23107[[#Totals],[法人／事業所数]]/LTBL_23107[[#Totals],[総数／事業所数]]</f>
        <v>0.57439896036387261</v>
      </c>
      <c r="I21" s="11">
        <f>LTBL_23107[[#Totals],[法人以外の団体／事業所数]]/LTBL_23107[[#Totals],[総数／事業所数]]</f>
        <v>6.4977257959714096E-4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490</v>
      </c>
      <c r="D24" s="8">
        <v>15.92</v>
      </c>
      <c r="E24" s="12">
        <v>153</v>
      </c>
      <c r="F24" s="8">
        <v>11.71</v>
      </c>
      <c r="G24" s="12">
        <v>336</v>
      </c>
      <c r="H24" s="8">
        <v>19</v>
      </c>
      <c r="I24" s="12">
        <v>1</v>
      </c>
    </row>
    <row r="25" spans="2:9" ht="15" customHeight="1" x14ac:dyDescent="0.2">
      <c r="B25" t="s">
        <v>110</v>
      </c>
      <c r="C25" s="12">
        <v>335</v>
      </c>
      <c r="D25" s="8">
        <v>10.88</v>
      </c>
      <c r="E25" s="12">
        <v>257</v>
      </c>
      <c r="F25" s="8">
        <v>19.66</v>
      </c>
      <c r="G25" s="12">
        <v>78</v>
      </c>
      <c r="H25" s="8">
        <v>4.41</v>
      </c>
      <c r="I25" s="12">
        <v>0</v>
      </c>
    </row>
    <row r="26" spans="2:9" ht="15" customHeight="1" x14ac:dyDescent="0.2">
      <c r="B26" t="s">
        <v>111</v>
      </c>
      <c r="C26" s="12">
        <v>267</v>
      </c>
      <c r="D26" s="8">
        <v>8.67</v>
      </c>
      <c r="E26" s="12">
        <v>203</v>
      </c>
      <c r="F26" s="8">
        <v>15.53</v>
      </c>
      <c r="G26" s="12">
        <v>64</v>
      </c>
      <c r="H26" s="8">
        <v>3.62</v>
      </c>
      <c r="I26" s="12">
        <v>0</v>
      </c>
    </row>
    <row r="27" spans="2:9" ht="15" customHeight="1" x14ac:dyDescent="0.2">
      <c r="B27" t="s">
        <v>105</v>
      </c>
      <c r="C27" s="12">
        <v>173</v>
      </c>
      <c r="D27" s="8">
        <v>5.62</v>
      </c>
      <c r="E27" s="12">
        <v>91</v>
      </c>
      <c r="F27" s="8">
        <v>6.96</v>
      </c>
      <c r="G27" s="12">
        <v>82</v>
      </c>
      <c r="H27" s="8">
        <v>4.6399999999999997</v>
      </c>
      <c r="I27" s="12">
        <v>0</v>
      </c>
    </row>
    <row r="28" spans="2:9" ht="15" customHeight="1" x14ac:dyDescent="0.2">
      <c r="B28" t="s">
        <v>108</v>
      </c>
      <c r="C28" s="12">
        <v>162</v>
      </c>
      <c r="D28" s="8">
        <v>5.26</v>
      </c>
      <c r="E28" s="12">
        <v>92</v>
      </c>
      <c r="F28" s="8">
        <v>7.04</v>
      </c>
      <c r="G28" s="12">
        <v>69</v>
      </c>
      <c r="H28" s="8">
        <v>3.9</v>
      </c>
      <c r="I28" s="12">
        <v>1</v>
      </c>
    </row>
    <row r="29" spans="2:9" ht="15" customHeight="1" x14ac:dyDescent="0.2">
      <c r="B29" t="s">
        <v>113</v>
      </c>
      <c r="C29" s="12">
        <v>126</v>
      </c>
      <c r="D29" s="8">
        <v>4.09</v>
      </c>
      <c r="E29" s="12">
        <v>95</v>
      </c>
      <c r="F29" s="8">
        <v>7.27</v>
      </c>
      <c r="G29" s="12">
        <v>31</v>
      </c>
      <c r="H29" s="8">
        <v>1.75</v>
      </c>
      <c r="I29" s="12">
        <v>0</v>
      </c>
    </row>
    <row r="30" spans="2:9" ht="15" customHeight="1" x14ac:dyDescent="0.2">
      <c r="B30" t="s">
        <v>112</v>
      </c>
      <c r="C30" s="12">
        <v>124</v>
      </c>
      <c r="D30" s="8">
        <v>4.03</v>
      </c>
      <c r="E30" s="12">
        <v>76</v>
      </c>
      <c r="F30" s="8">
        <v>5.81</v>
      </c>
      <c r="G30" s="12">
        <v>48</v>
      </c>
      <c r="H30" s="8">
        <v>2.71</v>
      </c>
      <c r="I30" s="12">
        <v>0</v>
      </c>
    </row>
    <row r="31" spans="2:9" ht="15" customHeight="1" x14ac:dyDescent="0.2">
      <c r="B31" t="s">
        <v>103</v>
      </c>
      <c r="C31" s="12">
        <v>104</v>
      </c>
      <c r="D31" s="8">
        <v>3.38</v>
      </c>
      <c r="E31" s="12">
        <v>60</v>
      </c>
      <c r="F31" s="8">
        <v>4.59</v>
      </c>
      <c r="G31" s="12">
        <v>44</v>
      </c>
      <c r="H31" s="8">
        <v>2.4900000000000002</v>
      </c>
      <c r="I31" s="12">
        <v>0</v>
      </c>
    </row>
    <row r="32" spans="2:9" ht="15" customHeight="1" x14ac:dyDescent="0.2">
      <c r="B32" t="s">
        <v>94</v>
      </c>
      <c r="C32" s="12">
        <v>92</v>
      </c>
      <c r="D32" s="8">
        <v>2.99</v>
      </c>
      <c r="E32" s="12">
        <v>9</v>
      </c>
      <c r="F32" s="8">
        <v>0.69</v>
      </c>
      <c r="G32" s="12">
        <v>83</v>
      </c>
      <c r="H32" s="8">
        <v>4.6900000000000004</v>
      </c>
      <c r="I32" s="12">
        <v>0</v>
      </c>
    </row>
    <row r="33" spans="2:9" ht="15" customHeight="1" x14ac:dyDescent="0.2">
      <c r="B33" t="s">
        <v>109</v>
      </c>
      <c r="C33" s="12">
        <v>86</v>
      </c>
      <c r="D33" s="8">
        <v>2.79</v>
      </c>
      <c r="E33" s="12">
        <v>34</v>
      </c>
      <c r="F33" s="8">
        <v>2.6</v>
      </c>
      <c r="G33" s="12">
        <v>52</v>
      </c>
      <c r="H33" s="8">
        <v>2.94</v>
      </c>
      <c r="I33" s="12">
        <v>0</v>
      </c>
    </row>
    <row r="34" spans="2:9" ht="15" customHeight="1" x14ac:dyDescent="0.2">
      <c r="B34" t="s">
        <v>106</v>
      </c>
      <c r="C34" s="12">
        <v>75</v>
      </c>
      <c r="D34" s="8">
        <v>2.44</v>
      </c>
      <c r="E34" s="12">
        <v>14</v>
      </c>
      <c r="F34" s="8">
        <v>1.07</v>
      </c>
      <c r="G34" s="12">
        <v>61</v>
      </c>
      <c r="H34" s="8">
        <v>3.45</v>
      </c>
      <c r="I34" s="12">
        <v>0</v>
      </c>
    </row>
    <row r="35" spans="2:9" ht="15" customHeight="1" x14ac:dyDescent="0.2">
      <c r="B35" t="s">
        <v>100</v>
      </c>
      <c r="C35" s="12">
        <v>73</v>
      </c>
      <c r="D35" s="8">
        <v>2.37</v>
      </c>
      <c r="E35" s="12">
        <v>9</v>
      </c>
      <c r="F35" s="8">
        <v>0.69</v>
      </c>
      <c r="G35" s="12">
        <v>64</v>
      </c>
      <c r="H35" s="8">
        <v>3.62</v>
      </c>
      <c r="I35" s="12">
        <v>0</v>
      </c>
    </row>
    <row r="36" spans="2:9" ht="15" customHeight="1" x14ac:dyDescent="0.2">
      <c r="B36" t="s">
        <v>95</v>
      </c>
      <c r="C36" s="12">
        <v>72</v>
      </c>
      <c r="D36" s="8">
        <v>2.34</v>
      </c>
      <c r="E36" s="12">
        <v>7</v>
      </c>
      <c r="F36" s="8">
        <v>0.54</v>
      </c>
      <c r="G36" s="12">
        <v>65</v>
      </c>
      <c r="H36" s="8">
        <v>3.68</v>
      </c>
      <c r="I36" s="12">
        <v>0</v>
      </c>
    </row>
    <row r="37" spans="2:9" ht="15" customHeight="1" x14ac:dyDescent="0.2">
      <c r="B37" t="s">
        <v>96</v>
      </c>
      <c r="C37" s="12">
        <v>69</v>
      </c>
      <c r="D37" s="8">
        <v>2.2400000000000002</v>
      </c>
      <c r="E37" s="12">
        <v>9</v>
      </c>
      <c r="F37" s="8">
        <v>0.69</v>
      </c>
      <c r="G37" s="12">
        <v>60</v>
      </c>
      <c r="H37" s="8">
        <v>3.39</v>
      </c>
      <c r="I37" s="12">
        <v>0</v>
      </c>
    </row>
    <row r="38" spans="2:9" ht="15" customHeight="1" x14ac:dyDescent="0.2">
      <c r="B38" t="s">
        <v>101</v>
      </c>
      <c r="C38" s="12">
        <v>68</v>
      </c>
      <c r="D38" s="8">
        <v>2.21</v>
      </c>
      <c r="E38" s="12">
        <v>13</v>
      </c>
      <c r="F38" s="8">
        <v>0.99</v>
      </c>
      <c r="G38" s="12">
        <v>55</v>
      </c>
      <c r="H38" s="8">
        <v>3.11</v>
      </c>
      <c r="I38" s="12">
        <v>0</v>
      </c>
    </row>
    <row r="39" spans="2:9" ht="15" customHeight="1" x14ac:dyDescent="0.2">
      <c r="B39" t="s">
        <v>102</v>
      </c>
      <c r="C39" s="12">
        <v>67</v>
      </c>
      <c r="D39" s="8">
        <v>2.1800000000000002</v>
      </c>
      <c r="E39" s="12">
        <v>30</v>
      </c>
      <c r="F39" s="8">
        <v>2.2999999999999998</v>
      </c>
      <c r="G39" s="12">
        <v>37</v>
      </c>
      <c r="H39" s="8">
        <v>2.09</v>
      </c>
      <c r="I39" s="12">
        <v>0</v>
      </c>
    </row>
    <row r="40" spans="2:9" ht="15" customHeight="1" x14ac:dyDescent="0.2">
      <c r="B40" t="s">
        <v>117</v>
      </c>
      <c r="C40" s="12">
        <v>55</v>
      </c>
      <c r="D40" s="8">
        <v>1.79</v>
      </c>
      <c r="E40" s="12">
        <v>15</v>
      </c>
      <c r="F40" s="8">
        <v>1.1499999999999999</v>
      </c>
      <c r="G40" s="12">
        <v>40</v>
      </c>
      <c r="H40" s="8">
        <v>2.2599999999999998</v>
      </c>
      <c r="I40" s="12">
        <v>0</v>
      </c>
    </row>
    <row r="41" spans="2:9" ht="15" customHeight="1" x14ac:dyDescent="0.2">
      <c r="B41" t="s">
        <v>104</v>
      </c>
      <c r="C41" s="12">
        <v>52</v>
      </c>
      <c r="D41" s="8">
        <v>1.69</v>
      </c>
      <c r="E41" s="12">
        <v>26</v>
      </c>
      <c r="F41" s="8">
        <v>1.99</v>
      </c>
      <c r="G41" s="12">
        <v>26</v>
      </c>
      <c r="H41" s="8">
        <v>1.47</v>
      </c>
      <c r="I41" s="12">
        <v>0</v>
      </c>
    </row>
    <row r="42" spans="2:9" ht="15" customHeight="1" x14ac:dyDescent="0.2">
      <c r="B42" t="s">
        <v>99</v>
      </c>
      <c r="C42" s="12">
        <v>39</v>
      </c>
      <c r="D42" s="8">
        <v>1.27</v>
      </c>
      <c r="E42" s="12">
        <v>2</v>
      </c>
      <c r="F42" s="8">
        <v>0.15</v>
      </c>
      <c r="G42" s="12">
        <v>37</v>
      </c>
      <c r="H42" s="8">
        <v>2.09</v>
      </c>
      <c r="I42" s="12">
        <v>0</v>
      </c>
    </row>
    <row r="43" spans="2:9" ht="15" customHeight="1" x14ac:dyDescent="0.2">
      <c r="B43" t="s">
        <v>115</v>
      </c>
      <c r="C43" s="12">
        <v>38</v>
      </c>
      <c r="D43" s="8">
        <v>1.23</v>
      </c>
      <c r="E43" s="12">
        <v>14</v>
      </c>
      <c r="F43" s="8">
        <v>1.07</v>
      </c>
      <c r="G43" s="12">
        <v>24</v>
      </c>
      <c r="H43" s="8">
        <v>1.36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330</v>
      </c>
      <c r="D47" s="8">
        <v>10.72</v>
      </c>
      <c r="E47" s="12">
        <v>127</v>
      </c>
      <c r="F47" s="8">
        <v>9.7200000000000006</v>
      </c>
      <c r="G47" s="12">
        <v>202</v>
      </c>
      <c r="H47" s="8">
        <v>11.43</v>
      </c>
      <c r="I47" s="12">
        <v>1</v>
      </c>
    </row>
    <row r="48" spans="2:9" ht="15" customHeight="1" x14ac:dyDescent="0.2">
      <c r="B48" t="s">
        <v>168</v>
      </c>
      <c r="C48" s="12">
        <v>123</v>
      </c>
      <c r="D48" s="8">
        <v>4</v>
      </c>
      <c r="E48" s="12">
        <v>100</v>
      </c>
      <c r="F48" s="8">
        <v>7.65</v>
      </c>
      <c r="G48" s="12">
        <v>23</v>
      </c>
      <c r="H48" s="8">
        <v>1.3</v>
      </c>
      <c r="I48" s="12">
        <v>0</v>
      </c>
    </row>
    <row r="49" spans="2:9" ht="15" customHeight="1" x14ac:dyDescent="0.2">
      <c r="B49" t="s">
        <v>163</v>
      </c>
      <c r="C49" s="12">
        <v>96</v>
      </c>
      <c r="D49" s="8">
        <v>3.12</v>
      </c>
      <c r="E49" s="12">
        <v>70</v>
      </c>
      <c r="F49" s="8">
        <v>5.36</v>
      </c>
      <c r="G49" s="12">
        <v>26</v>
      </c>
      <c r="H49" s="8">
        <v>1.47</v>
      </c>
      <c r="I49" s="12">
        <v>0</v>
      </c>
    </row>
    <row r="50" spans="2:9" ht="15" customHeight="1" x14ac:dyDescent="0.2">
      <c r="B50" t="s">
        <v>165</v>
      </c>
      <c r="C50" s="12">
        <v>85</v>
      </c>
      <c r="D50" s="8">
        <v>2.76</v>
      </c>
      <c r="E50" s="12">
        <v>72</v>
      </c>
      <c r="F50" s="8">
        <v>5.51</v>
      </c>
      <c r="G50" s="12">
        <v>13</v>
      </c>
      <c r="H50" s="8">
        <v>0.74</v>
      </c>
      <c r="I50" s="12">
        <v>0</v>
      </c>
    </row>
    <row r="51" spans="2:9" ht="15" customHeight="1" x14ac:dyDescent="0.2">
      <c r="B51" t="s">
        <v>170</v>
      </c>
      <c r="C51" s="12">
        <v>81</v>
      </c>
      <c r="D51" s="8">
        <v>2.63</v>
      </c>
      <c r="E51" s="12">
        <v>59</v>
      </c>
      <c r="F51" s="8">
        <v>4.51</v>
      </c>
      <c r="G51" s="12">
        <v>22</v>
      </c>
      <c r="H51" s="8">
        <v>1.24</v>
      </c>
      <c r="I51" s="12">
        <v>0</v>
      </c>
    </row>
    <row r="52" spans="2:9" ht="15" customHeight="1" x14ac:dyDescent="0.2">
      <c r="B52" t="s">
        <v>171</v>
      </c>
      <c r="C52" s="12">
        <v>80</v>
      </c>
      <c r="D52" s="8">
        <v>2.6</v>
      </c>
      <c r="E52" s="12">
        <v>59</v>
      </c>
      <c r="F52" s="8">
        <v>4.51</v>
      </c>
      <c r="G52" s="12">
        <v>21</v>
      </c>
      <c r="H52" s="8">
        <v>1.19</v>
      </c>
      <c r="I52" s="12">
        <v>0</v>
      </c>
    </row>
    <row r="53" spans="2:9" ht="15" customHeight="1" x14ac:dyDescent="0.2">
      <c r="B53" t="s">
        <v>160</v>
      </c>
      <c r="C53" s="12">
        <v>73</v>
      </c>
      <c r="D53" s="8">
        <v>2.37</v>
      </c>
      <c r="E53" s="12">
        <v>8</v>
      </c>
      <c r="F53" s="8">
        <v>0.61</v>
      </c>
      <c r="G53" s="12">
        <v>65</v>
      </c>
      <c r="H53" s="8">
        <v>3.68</v>
      </c>
      <c r="I53" s="12">
        <v>0</v>
      </c>
    </row>
    <row r="54" spans="2:9" ht="15" customHeight="1" x14ac:dyDescent="0.2">
      <c r="B54" t="s">
        <v>158</v>
      </c>
      <c r="C54" s="12">
        <v>63</v>
      </c>
      <c r="D54" s="8">
        <v>2.0499999999999998</v>
      </c>
      <c r="E54" s="12">
        <v>39</v>
      </c>
      <c r="F54" s="8">
        <v>2.98</v>
      </c>
      <c r="G54" s="12">
        <v>24</v>
      </c>
      <c r="H54" s="8">
        <v>1.36</v>
      </c>
      <c r="I54" s="12">
        <v>0</v>
      </c>
    </row>
    <row r="55" spans="2:9" ht="15" customHeight="1" x14ac:dyDescent="0.2">
      <c r="B55" t="s">
        <v>159</v>
      </c>
      <c r="C55" s="12">
        <v>59</v>
      </c>
      <c r="D55" s="8">
        <v>1.92</v>
      </c>
      <c r="E55" s="12">
        <v>12</v>
      </c>
      <c r="F55" s="8">
        <v>0.92</v>
      </c>
      <c r="G55" s="12">
        <v>47</v>
      </c>
      <c r="H55" s="8">
        <v>2.66</v>
      </c>
      <c r="I55" s="12">
        <v>0</v>
      </c>
    </row>
    <row r="56" spans="2:9" ht="15" customHeight="1" x14ac:dyDescent="0.2">
      <c r="B56" t="s">
        <v>167</v>
      </c>
      <c r="C56" s="12">
        <v>59</v>
      </c>
      <c r="D56" s="8">
        <v>1.92</v>
      </c>
      <c r="E56" s="12">
        <v>52</v>
      </c>
      <c r="F56" s="8">
        <v>3.98</v>
      </c>
      <c r="G56" s="12">
        <v>7</v>
      </c>
      <c r="H56" s="8">
        <v>0.4</v>
      </c>
      <c r="I56" s="12">
        <v>0</v>
      </c>
    </row>
    <row r="57" spans="2:9" ht="15" customHeight="1" x14ac:dyDescent="0.2">
      <c r="B57" t="s">
        <v>174</v>
      </c>
      <c r="C57" s="12">
        <v>55</v>
      </c>
      <c r="D57" s="8">
        <v>1.79</v>
      </c>
      <c r="E57" s="12">
        <v>3</v>
      </c>
      <c r="F57" s="8">
        <v>0.23</v>
      </c>
      <c r="G57" s="12">
        <v>52</v>
      </c>
      <c r="H57" s="8">
        <v>2.94</v>
      </c>
      <c r="I57" s="12">
        <v>0</v>
      </c>
    </row>
    <row r="58" spans="2:9" ht="15" customHeight="1" x14ac:dyDescent="0.2">
      <c r="B58" t="s">
        <v>162</v>
      </c>
      <c r="C58" s="12">
        <v>52</v>
      </c>
      <c r="D58" s="8">
        <v>1.69</v>
      </c>
      <c r="E58" s="12">
        <v>19</v>
      </c>
      <c r="F58" s="8">
        <v>1.45</v>
      </c>
      <c r="G58" s="12">
        <v>33</v>
      </c>
      <c r="H58" s="8">
        <v>1.87</v>
      </c>
      <c r="I58" s="12">
        <v>0</v>
      </c>
    </row>
    <row r="59" spans="2:9" ht="15" customHeight="1" x14ac:dyDescent="0.2">
      <c r="B59" t="s">
        <v>164</v>
      </c>
      <c r="C59" s="12">
        <v>50</v>
      </c>
      <c r="D59" s="8">
        <v>1.62</v>
      </c>
      <c r="E59" s="12">
        <v>43</v>
      </c>
      <c r="F59" s="8">
        <v>3.29</v>
      </c>
      <c r="G59" s="12">
        <v>7</v>
      </c>
      <c r="H59" s="8">
        <v>0.4</v>
      </c>
      <c r="I59" s="12">
        <v>0</v>
      </c>
    </row>
    <row r="60" spans="2:9" ht="15" customHeight="1" x14ac:dyDescent="0.2">
      <c r="B60" t="s">
        <v>166</v>
      </c>
      <c r="C60" s="12">
        <v>48</v>
      </c>
      <c r="D60" s="8">
        <v>1.56</v>
      </c>
      <c r="E60" s="12">
        <v>28</v>
      </c>
      <c r="F60" s="8">
        <v>2.14</v>
      </c>
      <c r="G60" s="12">
        <v>20</v>
      </c>
      <c r="H60" s="8">
        <v>1.1299999999999999</v>
      </c>
      <c r="I60" s="12">
        <v>0</v>
      </c>
    </row>
    <row r="61" spans="2:9" ht="15" customHeight="1" x14ac:dyDescent="0.2">
      <c r="B61" t="s">
        <v>175</v>
      </c>
      <c r="C61" s="12">
        <v>47</v>
      </c>
      <c r="D61" s="8">
        <v>1.53</v>
      </c>
      <c r="E61" s="12">
        <v>43</v>
      </c>
      <c r="F61" s="8">
        <v>3.29</v>
      </c>
      <c r="G61" s="12">
        <v>4</v>
      </c>
      <c r="H61" s="8">
        <v>0.23</v>
      </c>
      <c r="I61" s="12">
        <v>0</v>
      </c>
    </row>
    <row r="62" spans="2:9" ht="15" customHeight="1" x14ac:dyDescent="0.2">
      <c r="B62" t="s">
        <v>185</v>
      </c>
      <c r="C62" s="12">
        <v>45</v>
      </c>
      <c r="D62" s="8">
        <v>1.46</v>
      </c>
      <c r="E62" s="12">
        <v>9</v>
      </c>
      <c r="F62" s="8">
        <v>0.69</v>
      </c>
      <c r="G62" s="12">
        <v>36</v>
      </c>
      <c r="H62" s="8">
        <v>2.04</v>
      </c>
      <c r="I62" s="12">
        <v>0</v>
      </c>
    </row>
    <row r="63" spans="2:9" ht="15" customHeight="1" x14ac:dyDescent="0.2">
      <c r="B63" t="s">
        <v>186</v>
      </c>
      <c r="C63" s="12">
        <v>38</v>
      </c>
      <c r="D63" s="8">
        <v>1.23</v>
      </c>
      <c r="E63" s="12">
        <v>17</v>
      </c>
      <c r="F63" s="8">
        <v>1.3</v>
      </c>
      <c r="G63" s="12">
        <v>21</v>
      </c>
      <c r="H63" s="8">
        <v>1.19</v>
      </c>
      <c r="I63" s="12">
        <v>0</v>
      </c>
    </row>
    <row r="64" spans="2:9" ht="15" customHeight="1" x14ac:dyDescent="0.2">
      <c r="B64" t="s">
        <v>173</v>
      </c>
      <c r="C64" s="12">
        <v>37</v>
      </c>
      <c r="D64" s="8">
        <v>1.2</v>
      </c>
      <c r="E64" s="12">
        <v>5</v>
      </c>
      <c r="F64" s="8">
        <v>0.38</v>
      </c>
      <c r="G64" s="12">
        <v>32</v>
      </c>
      <c r="H64" s="8">
        <v>1.81</v>
      </c>
      <c r="I64" s="12">
        <v>0</v>
      </c>
    </row>
    <row r="65" spans="2:9" ht="15" customHeight="1" x14ac:dyDescent="0.2">
      <c r="B65" t="s">
        <v>191</v>
      </c>
      <c r="C65" s="12">
        <v>35</v>
      </c>
      <c r="D65" s="8">
        <v>1.1399999999999999</v>
      </c>
      <c r="E65" s="12">
        <v>15</v>
      </c>
      <c r="F65" s="8">
        <v>1.1499999999999999</v>
      </c>
      <c r="G65" s="12">
        <v>20</v>
      </c>
      <c r="H65" s="8">
        <v>1.1299999999999999</v>
      </c>
      <c r="I65" s="12">
        <v>0</v>
      </c>
    </row>
    <row r="66" spans="2:9" ht="15" customHeight="1" x14ac:dyDescent="0.2">
      <c r="B66" t="s">
        <v>179</v>
      </c>
      <c r="C66" s="12">
        <v>35</v>
      </c>
      <c r="D66" s="8">
        <v>1.1399999999999999</v>
      </c>
      <c r="E66" s="12">
        <v>22</v>
      </c>
      <c r="F66" s="8">
        <v>1.68</v>
      </c>
      <c r="G66" s="12">
        <v>13</v>
      </c>
      <c r="H66" s="8">
        <v>0.74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886B-0133-4199-919F-8254D505952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237</v>
      </c>
      <c r="D6" s="8">
        <v>9.2200000000000006</v>
      </c>
      <c r="E6" s="12">
        <v>34</v>
      </c>
      <c r="F6" s="8">
        <v>3.01</v>
      </c>
      <c r="G6" s="12">
        <v>203</v>
      </c>
      <c r="H6" s="8">
        <v>14.1</v>
      </c>
      <c r="I6" s="12">
        <v>0</v>
      </c>
    </row>
    <row r="7" spans="2:9" ht="15" customHeight="1" x14ac:dyDescent="0.2">
      <c r="B7" t="s">
        <v>73</v>
      </c>
      <c r="C7" s="12">
        <v>186</v>
      </c>
      <c r="D7" s="8">
        <v>7.24</v>
      </c>
      <c r="E7" s="12">
        <v>51</v>
      </c>
      <c r="F7" s="8">
        <v>4.51</v>
      </c>
      <c r="G7" s="12">
        <v>135</v>
      </c>
      <c r="H7" s="8">
        <v>9.3800000000000008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0.14000000000000001</v>
      </c>
      <c r="I8" s="12">
        <v>0</v>
      </c>
    </row>
    <row r="9" spans="2:9" ht="15" customHeight="1" x14ac:dyDescent="0.2">
      <c r="B9" t="s">
        <v>75</v>
      </c>
      <c r="C9" s="12">
        <v>25</v>
      </c>
      <c r="D9" s="8">
        <v>0.97</v>
      </c>
      <c r="E9" s="12">
        <v>1</v>
      </c>
      <c r="F9" s="8">
        <v>0.09</v>
      </c>
      <c r="G9" s="12">
        <v>24</v>
      </c>
      <c r="H9" s="8">
        <v>1.67</v>
      </c>
      <c r="I9" s="12">
        <v>0</v>
      </c>
    </row>
    <row r="10" spans="2:9" ht="15" customHeight="1" x14ac:dyDescent="0.2">
      <c r="B10" t="s">
        <v>76</v>
      </c>
      <c r="C10" s="12">
        <v>16</v>
      </c>
      <c r="D10" s="8">
        <v>0.62</v>
      </c>
      <c r="E10" s="12">
        <v>2</v>
      </c>
      <c r="F10" s="8">
        <v>0.18</v>
      </c>
      <c r="G10" s="12">
        <v>14</v>
      </c>
      <c r="H10" s="8">
        <v>0.97</v>
      </c>
      <c r="I10" s="12">
        <v>0</v>
      </c>
    </row>
    <row r="11" spans="2:9" ht="15" customHeight="1" x14ac:dyDescent="0.2">
      <c r="B11" t="s">
        <v>77</v>
      </c>
      <c r="C11" s="12">
        <v>499</v>
      </c>
      <c r="D11" s="8">
        <v>19.420000000000002</v>
      </c>
      <c r="E11" s="12">
        <v>172</v>
      </c>
      <c r="F11" s="8">
        <v>15.22</v>
      </c>
      <c r="G11" s="12">
        <v>327</v>
      </c>
      <c r="H11" s="8">
        <v>22.71</v>
      </c>
      <c r="I11" s="12">
        <v>0</v>
      </c>
    </row>
    <row r="12" spans="2:9" ht="15" customHeight="1" x14ac:dyDescent="0.2">
      <c r="B12" t="s">
        <v>78</v>
      </c>
      <c r="C12" s="12">
        <v>14</v>
      </c>
      <c r="D12" s="8">
        <v>0.54</v>
      </c>
      <c r="E12" s="12">
        <v>0</v>
      </c>
      <c r="F12" s="8">
        <v>0</v>
      </c>
      <c r="G12" s="12">
        <v>14</v>
      </c>
      <c r="H12" s="8">
        <v>0.97</v>
      </c>
      <c r="I12" s="12">
        <v>0</v>
      </c>
    </row>
    <row r="13" spans="2:9" ht="15" customHeight="1" x14ac:dyDescent="0.2">
      <c r="B13" t="s">
        <v>79</v>
      </c>
      <c r="C13" s="12">
        <v>472</v>
      </c>
      <c r="D13" s="8">
        <v>18.37</v>
      </c>
      <c r="E13" s="12">
        <v>145</v>
      </c>
      <c r="F13" s="8">
        <v>12.83</v>
      </c>
      <c r="G13" s="12">
        <v>327</v>
      </c>
      <c r="H13" s="8">
        <v>22.71</v>
      </c>
      <c r="I13" s="12">
        <v>0</v>
      </c>
    </row>
    <row r="14" spans="2:9" ht="15" customHeight="1" x14ac:dyDescent="0.2">
      <c r="B14" t="s">
        <v>80</v>
      </c>
      <c r="C14" s="12">
        <v>186</v>
      </c>
      <c r="D14" s="8">
        <v>7.24</v>
      </c>
      <c r="E14" s="12">
        <v>105</v>
      </c>
      <c r="F14" s="8">
        <v>9.2899999999999991</v>
      </c>
      <c r="G14" s="12">
        <v>81</v>
      </c>
      <c r="H14" s="8">
        <v>5.63</v>
      </c>
      <c r="I14" s="12">
        <v>0</v>
      </c>
    </row>
    <row r="15" spans="2:9" ht="15" customHeight="1" x14ac:dyDescent="0.2">
      <c r="B15" t="s">
        <v>81</v>
      </c>
      <c r="C15" s="12">
        <v>287</v>
      </c>
      <c r="D15" s="8">
        <v>11.17</v>
      </c>
      <c r="E15" s="12">
        <v>231</v>
      </c>
      <c r="F15" s="8">
        <v>20.440000000000001</v>
      </c>
      <c r="G15" s="12">
        <v>56</v>
      </c>
      <c r="H15" s="8">
        <v>3.89</v>
      </c>
      <c r="I15" s="12">
        <v>0</v>
      </c>
    </row>
    <row r="16" spans="2:9" ht="15" customHeight="1" x14ac:dyDescent="0.2">
      <c r="B16" t="s">
        <v>82</v>
      </c>
      <c r="C16" s="12">
        <v>281</v>
      </c>
      <c r="D16" s="8">
        <v>10.93</v>
      </c>
      <c r="E16" s="12">
        <v>187</v>
      </c>
      <c r="F16" s="8">
        <v>16.55</v>
      </c>
      <c r="G16" s="12">
        <v>94</v>
      </c>
      <c r="H16" s="8">
        <v>6.53</v>
      </c>
      <c r="I16" s="12">
        <v>0</v>
      </c>
    </row>
    <row r="17" spans="2:9" ht="15" customHeight="1" x14ac:dyDescent="0.2">
      <c r="B17" t="s">
        <v>83</v>
      </c>
      <c r="C17" s="12">
        <v>145</v>
      </c>
      <c r="D17" s="8">
        <v>5.64</v>
      </c>
      <c r="E17" s="12">
        <v>96</v>
      </c>
      <c r="F17" s="8">
        <v>8.5</v>
      </c>
      <c r="G17" s="12">
        <v>49</v>
      </c>
      <c r="H17" s="8">
        <v>3.4</v>
      </c>
      <c r="I17" s="12">
        <v>0</v>
      </c>
    </row>
    <row r="18" spans="2:9" ht="15" customHeight="1" x14ac:dyDescent="0.2">
      <c r="B18" t="s">
        <v>84</v>
      </c>
      <c r="C18" s="12">
        <v>151</v>
      </c>
      <c r="D18" s="8">
        <v>5.88</v>
      </c>
      <c r="E18" s="12">
        <v>87</v>
      </c>
      <c r="F18" s="8">
        <v>7.7</v>
      </c>
      <c r="G18" s="12">
        <v>64</v>
      </c>
      <c r="H18" s="8">
        <v>4.4400000000000004</v>
      </c>
      <c r="I18" s="12">
        <v>0</v>
      </c>
    </row>
    <row r="19" spans="2:9" ht="15" customHeight="1" x14ac:dyDescent="0.2">
      <c r="B19" t="s">
        <v>85</v>
      </c>
      <c r="C19" s="12">
        <v>69</v>
      </c>
      <c r="D19" s="8">
        <v>2.68</v>
      </c>
      <c r="E19" s="12">
        <v>19</v>
      </c>
      <c r="F19" s="8">
        <v>1.68</v>
      </c>
      <c r="G19" s="12">
        <v>50</v>
      </c>
      <c r="H19" s="8">
        <v>3.47</v>
      </c>
      <c r="I19" s="12">
        <v>0</v>
      </c>
    </row>
    <row r="20" spans="2:9" ht="15" customHeight="1" x14ac:dyDescent="0.2">
      <c r="B20" s="9" t="s">
        <v>277</v>
      </c>
      <c r="C20" s="12">
        <f>SUM(LTBL_23108[総数／事業所数])</f>
        <v>2570</v>
      </c>
      <c r="E20" s="12">
        <f>SUBTOTAL(109,LTBL_23108[個人／事業所数])</f>
        <v>1130</v>
      </c>
      <c r="G20" s="12">
        <f>SUBTOTAL(109,LTBL_23108[法人／事業所数])</f>
        <v>1440</v>
      </c>
      <c r="I20" s="12">
        <f>SUBTOTAL(109,LTBL_23108[法人以外の団体／事業所数])</f>
        <v>0</v>
      </c>
    </row>
    <row r="21" spans="2:9" ht="15" customHeight="1" x14ac:dyDescent="0.2">
      <c r="E21" s="11">
        <f>LTBL_23108[[#Totals],[個人／事業所数]]/LTBL_23108[[#Totals],[総数／事業所数]]</f>
        <v>0.43968871595330739</v>
      </c>
      <c r="G21" s="11">
        <f>LTBL_23108[[#Totals],[法人／事業所数]]/LTBL_23108[[#Totals],[総数／事業所数]]</f>
        <v>0.56031128404669261</v>
      </c>
      <c r="I21" s="11">
        <f>LTBL_23108[[#Totals],[法人以外の団体／事業所数]]/LTBL_23108[[#Totals],[総数／事業所数]]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410</v>
      </c>
      <c r="D24" s="8">
        <v>15.95</v>
      </c>
      <c r="E24" s="12">
        <v>135</v>
      </c>
      <c r="F24" s="8">
        <v>11.95</v>
      </c>
      <c r="G24" s="12">
        <v>275</v>
      </c>
      <c r="H24" s="8">
        <v>19.100000000000001</v>
      </c>
      <c r="I24" s="12">
        <v>0</v>
      </c>
    </row>
    <row r="25" spans="2:9" ht="15" customHeight="1" x14ac:dyDescent="0.2">
      <c r="B25" t="s">
        <v>110</v>
      </c>
      <c r="C25" s="12">
        <v>264</v>
      </c>
      <c r="D25" s="8">
        <v>10.27</v>
      </c>
      <c r="E25" s="12">
        <v>223</v>
      </c>
      <c r="F25" s="8">
        <v>19.73</v>
      </c>
      <c r="G25" s="12">
        <v>41</v>
      </c>
      <c r="H25" s="8">
        <v>2.85</v>
      </c>
      <c r="I25" s="12">
        <v>0</v>
      </c>
    </row>
    <row r="26" spans="2:9" ht="15" customHeight="1" x14ac:dyDescent="0.2">
      <c r="B26" t="s">
        <v>111</v>
      </c>
      <c r="C26" s="12">
        <v>221</v>
      </c>
      <c r="D26" s="8">
        <v>8.6</v>
      </c>
      <c r="E26" s="12">
        <v>167</v>
      </c>
      <c r="F26" s="8">
        <v>14.78</v>
      </c>
      <c r="G26" s="12">
        <v>54</v>
      </c>
      <c r="H26" s="8">
        <v>3.75</v>
      </c>
      <c r="I26" s="12">
        <v>0</v>
      </c>
    </row>
    <row r="27" spans="2:9" ht="15" customHeight="1" x14ac:dyDescent="0.2">
      <c r="B27" t="s">
        <v>112</v>
      </c>
      <c r="C27" s="12">
        <v>145</v>
      </c>
      <c r="D27" s="8">
        <v>5.64</v>
      </c>
      <c r="E27" s="12">
        <v>96</v>
      </c>
      <c r="F27" s="8">
        <v>8.5</v>
      </c>
      <c r="G27" s="12">
        <v>49</v>
      </c>
      <c r="H27" s="8">
        <v>3.4</v>
      </c>
      <c r="I27" s="12">
        <v>0</v>
      </c>
    </row>
    <row r="28" spans="2:9" ht="15" customHeight="1" x14ac:dyDescent="0.2">
      <c r="B28" t="s">
        <v>105</v>
      </c>
      <c r="C28" s="12">
        <v>141</v>
      </c>
      <c r="D28" s="8">
        <v>5.49</v>
      </c>
      <c r="E28" s="12">
        <v>70</v>
      </c>
      <c r="F28" s="8">
        <v>6.19</v>
      </c>
      <c r="G28" s="12">
        <v>71</v>
      </c>
      <c r="H28" s="8">
        <v>4.93</v>
      </c>
      <c r="I28" s="12">
        <v>0</v>
      </c>
    </row>
    <row r="29" spans="2:9" ht="15" customHeight="1" x14ac:dyDescent="0.2">
      <c r="B29" t="s">
        <v>108</v>
      </c>
      <c r="C29" s="12">
        <v>135</v>
      </c>
      <c r="D29" s="8">
        <v>5.25</v>
      </c>
      <c r="E29" s="12">
        <v>85</v>
      </c>
      <c r="F29" s="8">
        <v>7.52</v>
      </c>
      <c r="G29" s="12">
        <v>50</v>
      </c>
      <c r="H29" s="8">
        <v>3.47</v>
      </c>
      <c r="I29" s="12">
        <v>0</v>
      </c>
    </row>
    <row r="30" spans="2:9" ht="15" customHeight="1" x14ac:dyDescent="0.2">
      <c r="B30" t="s">
        <v>113</v>
      </c>
      <c r="C30" s="12">
        <v>108</v>
      </c>
      <c r="D30" s="8">
        <v>4.2</v>
      </c>
      <c r="E30" s="12">
        <v>87</v>
      </c>
      <c r="F30" s="8">
        <v>7.7</v>
      </c>
      <c r="G30" s="12">
        <v>21</v>
      </c>
      <c r="H30" s="8">
        <v>1.46</v>
      </c>
      <c r="I30" s="12">
        <v>0</v>
      </c>
    </row>
    <row r="31" spans="2:9" ht="15" customHeight="1" x14ac:dyDescent="0.2">
      <c r="B31" t="s">
        <v>103</v>
      </c>
      <c r="C31" s="12">
        <v>95</v>
      </c>
      <c r="D31" s="8">
        <v>3.7</v>
      </c>
      <c r="E31" s="12">
        <v>59</v>
      </c>
      <c r="F31" s="8">
        <v>5.22</v>
      </c>
      <c r="G31" s="12">
        <v>36</v>
      </c>
      <c r="H31" s="8">
        <v>2.5</v>
      </c>
      <c r="I31" s="12">
        <v>0</v>
      </c>
    </row>
    <row r="32" spans="2:9" ht="15" customHeight="1" x14ac:dyDescent="0.2">
      <c r="B32" t="s">
        <v>94</v>
      </c>
      <c r="C32" s="12">
        <v>81</v>
      </c>
      <c r="D32" s="8">
        <v>3.15</v>
      </c>
      <c r="E32" s="12">
        <v>11</v>
      </c>
      <c r="F32" s="8">
        <v>0.97</v>
      </c>
      <c r="G32" s="12">
        <v>70</v>
      </c>
      <c r="H32" s="8">
        <v>4.8600000000000003</v>
      </c>
      <c r="I32" s="12">
        <v>0</v>
      </c>
    </row>
    <row r="33" spans="2:9" ht="15" customHeight="1" x14ac:dyDescent="0.2">
      <c r="B33" t="s">
        <v>96</v>
      </c>
      <c r="C33" s="12">
        <v>80</v>
      </c>
      <c r="D33" s="8">
        <v>3.11</v>
      </c>
      <c r="E33" s="12">
        <v>11</v>
      </c>
      <c r="F33" s="8">
        <v>0.97</v>
      </c>
      <c r="G33" s="12">
        <v>69</v>
      </c>
      <c r="H33" s="8">
        <v>4.79</v>
      </c>
      <c r="I33" s="12">
        <v>0</v>
      </c>
    </row>
    <row r="34" spans="2:9" ht="15" customHeight="1" x14ac:dyDescent="0.2">
      <c r="B34" t="s">
        <v>95</v>
      </c>
      <c r="C34" s="12">
        <v>76</v>
      </c>
      <c r="D34" s="8">
        <v>2.96</v>
      </c>
      <c r="E34" s="12">
        <v>12</v>
      </c>
      <c r="F34" s="8">
        <v>1.06</v>
      </c>
      <c r="G34" s="12">
        <v>64</v>
      </c>
      <c r="H34" s="8">
        <v>4.4400000000000004</v>
      </c>
      <c r="I34" s="12">
        <v>0</v>
      </c>
    </row>
    <row r="35" spans="2:9" ht="15" customHeight="1" x14ac:dyDescent="0.2">
      <c r="B35" t="s">
        <v>100</v>
      </c>
      <c r="C35" s="12">
        <v>51</v>
      </c>
      <c r="D35" s="8">
        <v>1.98</v>
      </c>
      <c r="E35" s="12">
        <v>2</v>
      </c>
      <c r="F35" s="8">
        <v>0.18</v>
      </c>
      <c r="G35" s="12">
        <v>49</v>
      </c>
      <c r="H35" s="8">
        <v>3.4</v>
      </c>
      <c r="I35" s="12">
        <v>0</v>
      </c>
    </row>
    <row r="36" spans="2:9" ht="15" customHeight="1" x14ac:dyDescent="0.2">
      <c r="B36" t="s">
        <v>106</v>
      </c>
      <c r="C36" s="12">
        <v>51</v>
      </c>
      <c r="D36" s="8">
        <v>1.98</v>
      </c>
      <c r="E36" s="12">
        <v>7</v>
      </c>
      <c r="F36" s="8">
        <v>0.62</v>
      </c>
      <c r="G36" s="12">
        <v>44</v>
      </c>
      <c r="H36" s="8">
        <v>3.06</v>
      </c>
      <c r="I36" s="12">
        <v>0</v>
      </c>
    </row>
    <row r="37" spans="2:9" ht="15" customHeight="1" x14ac:dyDescent="0.2">
      <c r="B37" t="s">
        <v>101</v>
      </c>
      <c r="C37" s="12">
        <v>50</v>
      </c>
      <c r="D37" s="8">
        <v>1.95</v>
      </c>
      <c r="E37" s="12">
        <v>6</v>
      </c>
      <c r="F37" s="8">
        <v>0.53</v>
      </c>
      <c r="G37" s="12">
        <v>44</v>
      </c>
      <c r="H37" s="8">
        <v>3.06</v>
      </c>
      <c r="I37" s="12">
        <v>0</v>
      </c>
    </row>
    <row r="38" spans="2:9" ht="15" customHeight="1" x14ac:dyDescent="0.2">
      <c r="B38" t="s">
        <v>99</v>
      </c>
      <c r="C38" s="12">
        <v>47</v>
      </c>
      <c r="D38" s="8">
        <v>1.83</v>
      </c>
      <c r="E38" s="12">
        <v>3</v>
      </c>
      <c r="F38" s="8">
        <v>0.27</v>
      </c>
      <c r="G38" s="12">
        <v>44</v>
      </c>
      <c r="H38" s="8">
        <v>3.06</v>
      </c>
      <c r="I38" s="12">
        <v>0</v>
      </c>
    </row>
    <row r="39" spans="2:9" ht="15" customHeight="1" x14ac:dyDescent="0.2">
      <c r="B39" t="s">
        <v>115</v>
      </c>
      <c r="C39" s="12">
        <v>47</v>
      </c>
      <c r="D39" s="8">
        <v>1.83</v>
      </c>
      <c r="E39" s="12">
        <v>14</v>
      </c>
      <c r="F39" s="8">
        <v>1.24</v>
      </c>
      <c r="G39" s="12">
        <v>33</v>
      </c>
      <c r="H39" s="8">
        <v>2.29</v>
      </c>
      <c r="I39" s="12">
        <v>0</v>
      </c>
    </row>
    <row r="40" spans="2:9" ht="15" customHeight="1" x14ac:dyDescent="0.2">
      <c r="B40" t="s">
        <v>109</v>
      </c>
      <c r="C40" s="12">
        <v>45</v>
      </c>
      <c r="D40" s="8">
        <v>1.75</v>
      </c>
      <c r="E40" s="12">
        <v>20</v>
      </c>
      <c r="F40" s="8">
        <v>1.77</v>
      </c>
      <c r="G40" s="12">
        <v>25</v>
      </c>
      <c r="H40" s="8">
        <v>1.74</v>
      </c>
      <c r="I40" s="12">
        <v>0</v>
      </c>
    </row>
    <row r="41" spans="2:9" ht="15" customHeight="1" x14ac:dyDescent="0.2">
      <c r="B41" t="s">
        <v>116</v>
      </c>
      <c r="C41" s="12">
        <v>43</v>
      </c>
      <c r="D41" s="8">
        <v>1.67</v>
      </c>
      <c r="E41" s="12">
        <v>0</v>
      </c>
      <c r="F41" s="8">
        <v>0</v>
      </c>
      <c r="G41" s="12">
        <v>43</v>
      </c>
      <c r="H41" s="8">
        <v>2.99</v>
      </c>
      <c r="I41" s="12">
        <v>0</v>
      </c>
    </row>
    <row r="42" spans="2:9" ht="15" customHeight="1" x14ac:dyDescent="0.2">
      <c r="B42" t="s">
        <v>102</v>
      </c>
      <c r="C42" s="12">
        <v>38</v>
      </c>
      <c r="D42" s="8">
        <v>1.48</v>
      </c>
      <c r="E42" s="12">
        <v>19</v>
      </c>
      <c r="F42" s="8">
        <v>1.68</v>
      </c>
      <c r="G42" s="12">
        <v>19</v>
      </c>
      <c r="H42" s="8">
        <v>1.32</v>
      </c>
      <c r="I42" s="12">
        <v>0</v>
      </c>
    </row>
    <row r="43" spans="2:9" ht="15" customHeight="1" x14ac:dyDescent="0.2">
      <c r="B43" t="s">
        <v>114</v>
      </c>
      <c r="C43" s="12">
        <v>38</v>
      </c>
      <c r="D43" s="8">
        <v>1.48</v>
      </c>
      <c r="E43" s="12">
        <v>4</v>
      </c>
      <c r="F43" s="8">
        <v>0.35</v>
      </c>
      <c r="G43" s="12">
        <v>34</v>
      </c>
      <c r="H43" s="8">
        <v>2.36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269</v>
      </c>
      <c r="D47" s="8">
        <v>10.47</v>
      </c>
      <c r="E47" s="12">
        <v>110</v>
      </c>
      <c r="F47" s="8">
        <v>9.73</v>
      </c>
      <c r="G47" s="12">
        <v>159</v>
      </c>
      <c r="H47" s="8">
        <v>11.04</v>
      </c>
      <c r="I47" s="12">
        <v>0</v>
      </c>
    </row>
    <row r="48" spans="2:9" ht="15" customHeight="1" x14ac:dyDescent="0.2">
      <c r="B48" t="s">
        <v>170</v>
      </c>
      <c r="C48" s="12">
        <v>105</v>
      </c>
      <c r="D48" s="8">
        <v>4.09</v>
      </c>
      <c r="E48" s="12">
        <v>77</v>
      </c>
      <c r="F48" s="8">
        <v>6.81</v>
      </c>
      <c r="G48" s="12">
        <v>28</v>
      </c>
      <c r="H48" s="8">
        <v>1.94</v>
      </c>
      <c r="I48" s="12">
        <v>0</v>
      </c>
    </row>
    <row r="49" spans="2:9" ht="15" customHeight="1" x14ac:dyDescent="0.2">
      <c r="B49" t="s">
        <v>168</v>
      </c>
      <c r="C49" s="12">
        <v>98</v>
      </c>
      <c r="D49" s="8">
        <v>3.81</v>
      </c>
      <c r="E49" s="12">
        <v>83</v>
      </c>
      <c r="F49" s="8">
        <v>7.35</v>
      </c>
      <c r="G49" s="12">
        <v>15</v>
      </c>
      <c r="H49" s="8">
        <v>1.04</v>
      </c>
      <c r="I49" s="12">
        <v>0</v>
      </c>
    </row>
    <row r="50" spans="2:9" ht="15" customHeight="1" x14ac:dyDescent="0.2">
      <c r="B50" t="s">
        <v>171</v>
      </c>
      <c r="C50" s="12">
        <v>79</v>
      </c>
      <c r="D50" s="8">
        <v>3.07</v>
      </c>
      <c r="E50" s="12">
        <v>61</v>
      </c>
      <c r="F50" s="8">
        <v>5.4</v>
      </c>
      <c r="G50" s="12">
        <v>18</v>
      </c>
      <c r="H50" s="8">
        <v>1.25</v>
      </c>
      <c r="I50" s="12">
        <v>0</v>
      </c>
    </row>
    <row r="51" spans="2:9" ht="15" customHeight="1" x14ac:dyDescent="0.2">
      <c r="B51" t="s">
        <v>165</v>
      </c>
      <c r="C51" s="12">
        <v>77</v>
      </c>
      <c r="D51" s="8">
        <v>3</v>
      </c>
      <c r="E51" s="12">
        <v>68</v>
      </c>
      <c r="F51" s="8">
        <v>6.02</v>
      </c>
      <c r="G51" s="12">
        <v>9</v>
      </c>
      <c r="H51" s="8">
        <v>0.63</v>
      </c>
      <c r="I51" s="12">
        <v>0</v>
      </c>
    </row>
    <row r="52" spans="2:9" ht="15" customHeight="1" x14ac:dyDescent="0.2">
      <c r="B52" t="s">
        <v>163</v>
      </c>
      <c r="C52" s="12">
        <v>71</v>
      </c>
      <c r="D52" s="8">
        <v>2.76</v>
      </c>
      <c r="E52" s="12">
        <v>57</v>
      </c>
      <c r="F52" s="8">
        <v>5.04</v>
      </c>
      <c r="G52" s="12">
        <v>14</v>
      </c>
      <c r="H52" s="8">
        <v>0.97</v>
      </c>
      <c r="I52" s="12">
        <v>0</v>
      </c>
    </row>
    <row r="53" spans="2:9" ht="15" customHeight="1" x14ac:dyDescent="0.2">
      <c r="B53" t="s">
        <v>160</v>
      </c>
      <c r="C53" s="12">
        <v>69</v>
      </c>
      <c r="D53" s="8">
        <v>2.68</v>
      </c>
      <c r="E53" s="12">
        <v>10</v>
      </c>
      <c r="F53" s="8">
        <v>0.88</v>
      </c>
      <c r="G53" s="12">
        <v>59</v>
      </c>
      <c r="H53" s="8">
        <v>4.0999999999999996</v>
      </c>
      <c r="I53" s="12">
        <v>0</v>
      </c>
    </row>
    <row r="54" spans="2:9" ht="15" customHeight="1" x14ac:dyDescent="0.2">
      <c r="B54" t="s">
        <v>167</v>
      </c>
      <c r="C54" s="12">
        <v>54</v>
      </c>
      <c r="D54" s="8">
        <v>2.1</v>
      </c>
      <c r="E54" s="12">
        <v>51</v>
      </c>
      <c r="F54" s="8">
        <v>4.51</v>
      </c>
      <c r="G54" s="12">
        <v>3</v>
      </c>
      <c r="H54" s="8">
        <v>0.21</v>
      </c>
      <c r="I54" s="12">
        <v>0</v>
      </c>
    </row>
    <row r="55" spans="2:9" ht="15" customHeight="1" x14ac:dyDescent="0.2">
      <c r="B55" t="s">
        <v>164</v>
      </c>
      <c r="C55" s="12">
        <v>50</v>
      </c>
      <c r="D55" s="8">
        <v>1.95</v>
      </c>
      <c r="E55" s="12">
        <v>48</v>
      </c>
      <c r="F55" s="8">
        <v>4.25</v>
      </c>
      <c r="G55" s="12">
        <v>2</v>
      </c>
      <c r="H55" s="8">
        <v>0.14000000000000001</v>
      </c>
      <c r="I55" s="12">
        <v>0</v>
      </c>
    </row>
    <row r="56" spans="2:9" ht="15" customHeight="1" x14ac:dyDescent="0.2">
      <c r="B56" t="s">
        <v>175</v>
      </c>
      <c r="C56" s="12">
        <v>45</v>
      </c>
      <c r="D56" s="8">
        <v>1.75</v>
      </c>
      <c r="E56" s="12">
        <v>44</v>
      </c>
      <c r="F56" s="8">
        <v>3.89</v>
      </c>
      <c r="G56" s="12">
        <v>1</v>
      </c>
      <c r="H56" s="8">
        <v>7.0000000000000007E-2</v>
      </c>
      <c r="I56" s="12">
        <v>0</v>
      </c>
    </row>
    <row r="57" spans="2:9" ht="15" customHeight="1" x14ac:dyDescent="0.2">
      <c r="B57" t="s">
        <v>186</v>
      </c>
      <c r="C57" s="12">
        <v>41</v>
      </c>
      <c r="D57" s="8">
        <v>1.6</v>
      </c>
      <c r="E57" s="12">
        <v>29</v>
      </c>
      <c r="F57" s="8">
        <v>2.57</v>
      </c>
      <c r="G57" s="12">
        <v>12</v>
      </c>
      <c r="H57" s="8">
        <v>0.83</v>
      </c>
      <c r="I57" s="12">
        <v>0</v>
      </c>
    </row>
    <row r="58" spans="2:9" ht="15" customHeight="1" x14ac:dyDescent="0.2">
      <c r="B58" t="s">
        <v>166</v>
      </c>
      <c r="C58" s="12">
        <v>41</v>
      </c>
      <c r="D58" s="8">
        <v>1.6</v>
      </c>
      <c r="E58" s="12">
        <v>17</v>
      </c>
      <c r="F58" s="8">
        <v>1.5</v>
      </c>
      <c r="G58" s="12">
        <v>24</v>
      </c>
      <c r="H58" s="8">
        <v>1.67</v>
      </c>
      <c r="I58" s="12">
        <v>0</v>
      </c>
    </row>
    <row r="59" spans="2:9" ht="15" customHeight="1" x14ac:dyDescent="0.2">
      <c r="B59" t="s">
        <v>174</v>
      </c>
      <c r="C59" s="12">
        <v>40</v>
      </c>
      <c r="D59" s="8">
        <v>1.56</v>
      </c>
      <c r="E59" s="12">
        <v>3</v>
      </c>
      <c r="F59" s="8">
        <v>0.27</v>
      </c>
      <c r="G59" s="12">
        <v>37</v>
      </c>
      <c r="H59" s="8">
        <v>2.57</v>
      </c>
      <c r="I59" s="12">
        <v>0</v>
      </c>
    </row>
    <row r="60" spans="2:9" ht="15" customHeight="1" x14ac:dyDescent="0.2">
      <c r="B60" t="s">
        <v>158</v>
      </c>
      <c r="C60" s="12">
        <v>39</v>
      </c>
      <c r="D60" s="8">
        <v>1.52</v>
      </c>
      <c r="E60" s="12">
        <v>28</v>
      </c>
      <c r="F60" s="8">
        <v>2.48</v>
      </c>
      <c r="G60" s="12">
        <v>11</v>
      </c>
      <c r="H60" s="8">
        <v>0.76</v>
      </c>
      <c r="I60" s="12">
        <v>0</v>
      </c>
    </row>
    <row r="61" spans="2:9" ht="15" customHeight="1" x14ac:dyDescent="0.2">
      <c r="B61" t="s">
        <v>154</v>
      </c>
      <c r="C61" s="12">
        <v>38</v>
      </c>
      <c r="D61" s="8">
        <v>1.48</v>
      </c>
      <c r="E61" s="12">
        <v>7</v>
      </c>
      <c r="F61" s="8">
        <v>0.62</v>
      </c>
      <c r="G61" s="12">
        <v>31</v>
      </c>
      <c r="H61" s="8">
        <v>2.15</v>
      </c>
      <c r="I61" s="12">
        <v>0</v>
      </c>
    </row>
    <row r="62" spans="2:9" ht="15" customHeight="1" x14ac:dyDescent="0.2">
      <c r="B62" t="s">
        <v>157</v>
      </c>
      <c r="C62" s="12">
        <v>38</v>
      </c>
      <c r="D62" s="8">
        <v>1.48</v>
      </c>
      <c r="E62" s="12">
        <v>12</v>
      </c>
      <c r="F62" s="8">
        <v>1.06</v>
      </c>
      <c r="G62" s="12">
        <v>26</v>
      </c>
      <c r="H62" s="8">
        <v>1.81</v>
      </c>
      <c r="I62" s="12">
        <v>0</v>
      </c>
    </row>
    <row r="63" spans="2:9" ht="15" customHeight="1" x14ac:dyDescent="0.2">
      <c r="B63" t="s">
        <v>169</v>
      </c>
      <c r="C63" s="12">
        <v>36</v>
      </c>
      <c r="D63" s="8">
        <v>1.4</v>
      </c>
      <c r="E63" s="12">
        <v>18</v>
      </c>
      <c r="F63" s="8">
        <v>1.59</v>
      </c>
      <c r="G63" s="12">
        <v>18</v>
      </c>
      <c r="H63" s="8">
        <v>1.25</v>
      </c>
      <c r="I63" s="12">
        <v>0</v>
      </c>
    </row>
    <row r="64" spans="2:9" ht="15" customHeight="1" x14ac:dyDescent="0.2">
      <c r="B64" t="s">
        <v>172</v>
      </c>
      <c r="C64" s="12">
        <v>33</v>
      </c>
      <c r="D64" s="8">
        <v>1.28</v>
      </c>
      <c r="E64" s="12">
        <v>2</v>
      </c>
      <c r="F64" s="8">
        <v>0.18</v>
      </c>
      <c r="G64" s="12">
        <v>31</v>
      </c>
      <c r="H64" s="8">
        <v>2.15</v>
      </c>
      <c r="I64" s="12">
        <v>0</v>
      </c>
    </row>
    <row r="65" spans="2:9" ht="15" customHeight="1" x14ac:dyDescent="0.2">
      <c r="B65" t="s">
        <v>159</v>
      </c>
      <c r="C65" s="12">
        <v>33</v>
      </c>
      <c r="D65" s="8">
        <v>1.28</v>
      </c>
      <c r="E65" s="12">
        <v>6</v>
      </c>
      <c r="F65" s="8">
        <v>0.53</v>
      </c>
      <c r="G65" s="12">
        <v>27</v>
      </c>
      <c r="H65" s="8">
        <v>1.88</v>
      </c>
      <c r="I65" s="12">
        <v>0</v>
      </c>
    </row>
    <row r="66" spans="2:9" ht="15" customHeight="1" x14ac:dyDescent="0.2">
      <c r="B66" t="s">
        <v>193</v>
      </c>
      <c r="C66" s="12">
        <v>32</v>
      </c>
      <c r="D66" s="8">
        <v>1.25</v>
      </c>
      <c r="E66" s="12">
        <v>12</v>
      </c>
      <c r="F66" s="8">
        <v>1.06</v>
      </c>
      <c r="G66" s="12">
        <v>20</v>
      </c>
      <c r="H66" s="8">
        <v>1.39</v>
      </c>
      <c r="I66" s="12">
        <v>0</v>
      </c>
    </row>
    <row r="67" spans="2:9" ht="15" customHeight="1" x14ac:dyDescent="0.2">
      <c r="B67" t="s">
        <v>192</v>
      </c>
      <c r="C67" s="12">
        <v>32</v>
      </c>
      <c r="D67" s="8">
        <v>1.25</v>
      </c>
      <c r="E67" s="12">
        <v>11</v>
      </c>
      <c r="F67" s="8">
        <v>0.97</v>
      </c>
      <c r="G67" s="12">
        <v>21</v>
      </c>
      <c r="H67" s="8">
        <v>1.46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B90C-5844-4F39-87A0-B4A0403AAD9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180</v>
      </c>
      <c r="D6" s="8">
        <v>8.7899999999999991</v>
      </c>
      <c r="E6" s="12">
        <v>18</v>
      </c>
      <c r="F6" s="8">
        <v>2.3199999999999998</v>
      </c>
      <c r="G6" s="12">
        <v>162</v>
      </c>
      <c r="H6" s="8">
        <v>12.78</v>
      </c>
      <c r="I6" s="12">
        <v>0</v>
      </c>
    </row>
    <row r="7" spans="2:9" ht="15" customHeight="1" x14ac:dyDescent="0.2">
      <c r="B7" t="s">
        <v>73</v>
      </c>
      <c r="C7" s="12">
        <v>239</v>
      </c>
      <c r="D7" s="8">
        <v>11.68</v>
      </c>
      <c r="E7" s="12">
        <v>55</v>
      </c>
      <c r="F7" s="8">
        <v>7.1</v>
      </c>
      <c r="G7" s="12">
        <v>184</v>
      </c>
      <c r="H7" s="8">
        <v>14.51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23</v>
      </c>
      <c r="D9" s="8">
        <v>1.1200000000000001</v>
      </c>
      <c r="E9" s="12">
        <v>2</v>
      </c>
      <c r="F9" s="8">
        <v>0.26</v>
      </c>
      <c r="G9" s="12">
        <v>21</v>
      </c>
      <c r="H9" s="8">
        <v>1.66</v>
      </c>
      <c r="I9" s="12">
        <v>0</v>
      </c>
    </row>
    <row r="10" spans="2:9" ht="15" customHeight="1" x14ac:dyDescent="0.2">
      <c r="B10" t="s">
        <v>76</v>
      </c>
      <c r="C10" s="12">
        <v>22</v>
      </c>
      <c r="D10" s="8">
        <v>1.07</v>
      </c>
      <c r="E10" s="12">
        <v>2</v>
      </c>
      <c r="F10" s="8">
        <v>0.26</v>
      </c>
      <c r="G10" s="12">
        <v>20</v>
      </c>
      <c r="H10" s="8">
        <v>1.58</v>
      </c>
      <c r="I10" s="12">
        <v>0</v>
      </c>
    </row>
    <row r="11" spans="2:9" ht="15" customHeight="1" x14ac:dyDescent="0.2">
      <c r="B11" t="s">
        <v>77</v>
      </c>
      <c r="C11" s="12">
        <v>513</v>
      </c>
      <c r="D11" s="8">
        <v>25.06</v>
      </c>
      <c r="E11" s="12">
        <v>131</v>
      </c>
      <c r="F11" s="8">
        <v>16.899999999999999</v>
      </c>
      <c r="G11" s="12">
        <v>382</v>
      </c>
      <c r="H11" s="8">
        <v>30.13</v>
      </c>
      <c r="I11" s="12">
        <v>0</v>
      </c>
    </row>
    <row r="12" spans="2:9" ht="15" customHeight="1" x14ac:dyDescent="0.2">
      <c r="B12" t="s">
        <v>78</v>
      </c>
      <c r="C12" s="12">
        <v>20</v>
      </c>
      <c r="D12" s="8">
        <v>0.98</v>
      </c>
      <c r="E12" s="12">
        <v>1</v>
      </c>
      <c r="F12" s="8">
        <v>0.13</v>
      </c>
      <c r="G12" s="12">
        <v>19</v>
      </c>
      <c r="H12" s="8">
        <v>1.5</v>
      </c>
      <c r="I12" s="12">
        <v>0</v>
      </c>
    </row>
    <row r="13" spans="2:9" ht="15" customHeight="1" x14ac:dyDescent="0.2">
      <c r="B13" t="s">
        <v>79</v>
      </c>
      <c r="C13" s="12">
        <v>241</v>
      </c>
      <c r="D13" s="8">
        <v>11.77</v>
      </c>
      <c r="E13" s="12">
        <v>86</v>
      </c>
      <c r="F13" s="8">
        <v>11.1</v>
      </c>
      <c r="G13" s="12">
        <v>155</v>
      </c>
      <c r="H13" s="8">
        <v>12.22</v>
      </c>
      <c r="I13" s="12">
        <v>0</v>
      </c>
    </row>
    <row r="14" spans="2:9" ht="15" customHeight="1" x14ac:dyDescent="0.2">
      <c r="B14" t="s">
        <v>80</v>
      </c>
      <c r="C14" s="12">
        <v>135</v>
      </c>
      <c r="D14" s="8">
        <v>6.6</v>
      </c>
      <c r="E14" s="12">
        <v>61</v>
      </c>
      <c r="F14" s="8">
        <v>7.87</v>
      </c>
      <c r="G14" s="12">
        <v>74</v>
      </c>
      <c r="H14" s="8">
        <v>5.84</v>
      </c>
      <c r="I14" s="12">
        <v>0</v>
      </c>
    </row>
    <row r="15" spans="2:9" ht="15" customHeight="1" x14ac:dyDescent="0.2">
      <c r="B15" t="s">
        <v>81</v>
      </c>
      <c r="C15" s="12">
        <v>276</v>
      </c>
      <c r="D15" s="8">
        <v>13.48</v>
      </c>
      <c r="E15" s="12">
        <v>210</v>
      </c>
      <c r="F15" s="8">
        <v>27.1</v>
      </c>
      <c r="G15" s="12">
        <v>64</v>
      </c>
      <c r="H15" s="8">
        <v>5.05</v>
      </c>
      <c r="I15" s="12">
        <v>0</v>
      </c>
    </row>
    <row r="16" spans="2:9" ht="15" customHeight="1" x14ac:dyDescent="0.2">
      <c r="B16" t="s">
        <v>82</v>
      </c>
      <c r="C16" s="12">
        <v>184</v>
      </c>
      <c r="D16" s="8">
        <v>8.99</v>
      </c>
      <c r="E16" s="12">
        <v>117</v>
      </c>
      <c r="F16" s="8">
        <v>15.1</v>
      </c>
      <c r="G16" s="12">
        <v>67</v>
      </c>
      <c r="H16" s="8">
        <v>5.28</v>
      </c>
      <c r="I16" s="12">
        <v>0</v>
      </c>
    </row>
    <row r="17" spans="2:9" ht="15" customHeight="1" x14ac:dyDescent="0.2">
      <c r="B17" t="s">
        <v>83</v>
      </c>
      <c r="C17" s="12">
        <v>49</v>
      </c>
      <c r="D17" s="8">
        <v>2.39</v>
      </c>
      <c r="E17" s="12">
        <v>28</v>
      </c>
      <c r="F17" s="8">
        <v>3.61</v>
      </c>
      <c r="G17" s="12">
        <v>21</v>
      </c>
      <c r="H17" s="8">
        <v>1.66</v>
      </c>
      <c r="I17" s="12">
        <v>0</v>
      </c>
    </row>
    <row r="18" spans="2:9" ht="15" customHeight="1" x14ac:dyDescent="0.2">
      <c r="B18" t="s">
        <v>84</v>
      </c>
      <c r="C18" s="12">
        <v>98</v>
      </c>
      <c r="D18" s="8">
        <v>4.79</v>
      </c>
      <c r="E18" s="12">
        <v>50</v>
      </c>
      <c r="F18" s="8">
        <v>6.45</v>
      </c>
      <c r="G18" s="12">
        <v>48</v>
      </c>
      <c r="H18" s="8">
        <v>3.79</v>
      </c>
      <c r="I18" s="12">
        <v>0</v>
      </c>
    </row>
    <row r="19" spans="2:9" ht="15" customHeight="1" x14ac:dyDescent="0.2">
      <c r="B19" t="s">
        <v>85</v>
      </c>
      <c r="C19" s="12">
        <v>67</v>
      </c>
      <c r="D19" s="8">
        <v>3.27</v>
      </c>
      <c r="E19" s="12">
        <v>14</v>
      </c>
      <c r="F19" s="8">
        <v>1.81</v>
      </c>
      <c r="G19" s="12">
        <v>51</v>
      </c>
      <c r="H19" s="8">
        <v>4.0199999999999996</v>
      </c>
      <c r="I19" s="12">
        <v>1</v>
      </c>
    </row>
    <row r="20" spans="2:9" ht="15" customHeight="1" x14ac:dyDescent="0.2">
      <c r="B20" s="9" t="s">
        <v>277</v>
      </c>
      <c r="C20" s="12">
        <f>SUM(LTBL_23109[総数／事業所数])</f>
        <v>2047</v>
      </c>
      <c r="E20" s="12">
        <f>SUBTOTAL(109,LTBL_23109[個人／事業所数])</f>
        <v>775</v>
      </c>
      <c r="G20" s="12">
        <f>SUBTOTAL(109,LTBL_23109[法人／事業所数])</f>
        <v>1268</v>
      </c>
      <c r="I20" s="12">
        <f>SUBTOTAL(109,LTBL_23109[法人以外の団体／事業所数])</f>
        <v>1</v>
      </c>
    </row>
    <row r="21" spans="2:9" ht="15" customHeight="1" x14ac:dyDescent="0.2">
      <c r="E21" s="11">
        <f>LTBL_23109[[#Totals],[個人／事業所数]]/LTBL_23109[[#Totals],[総数／事業所数]]</f>
        <v>0.37860283341475331</v>
      </c>
      <c r="G21" s="11">
        <f>LTBL_23109[[#Totals],[法人／事業所数]]/LTBL_23109[[#Totals],[総数／事業所数]]</f>
        <v>0.61944308744504151</v>
      </c>
      <c r="I21" s="11">
        <f>LTBL_23109[[#Totals],[法人以外の団体／事業所数]]/LTBL_23109[[#Totals],[総数／事業所数]]</f>
        <v>4.8851978505129456E-4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252</v>
      </c>
      <c r="D24" s="8">
        <v>12.31</v>
      </c>
      <c r="E24" s="12">
        <v>206</v>
      </c>
      <c r="F24" s="8">
        <v>26.58</v>
      </c>
      <c r="G24" s="12">
        <v>46</v>
      </c>
      <c r="H24" s="8">
        <v>3.63</v>
      </c>
      <c r="I24" s="12">
        <v>0</v>
      </c>
    </row>
    <row r="25" spans="2:9" ht="15" customHeight="1" x14ac:dyDescent="0.2">
      <c r="B25" t="s">
        <v>107</v>
      </c>
      <c r="C25" s="12">
        <v>211</v>
      </c>
      <c r="D25" s="8">
        <v>10.31</v>
      </c>
      <c r="E25" s="12">
        <v>84</v>
      </c>
      <c r="F25" s="8">
        <v>10.84</v>
      </c>
      <c r="G25" s="12">
        <v>127</v>
      </c>
      <c r="H25" s="8">
        <v>10.02</v>
      </c>
      <c r="I25" s="12">
        <v>0</v>
      </c>
    </row>
    <row r="26" spans="2:9" ht="15" customHeight="1" x14ac:dyDescent="0.2">
      <c r="B26" t="s">
        <v>111</v>
      </c>
      <c r="C26" s="12">
        <v>146</v>
      </c>
      <c r="D26" s="8">
        <v>7.13</v>
      </c>
      <c r="E26" s="12">
        <v>106</v>
      </c>
      <c r="F26" s="8">
        <v>13.68</v>
      </c>
      <c r="G26" s="12">
        <v>40</v>
      </c>
      <c r="H26" s="8">
        <v>3.15</v>
      </c>
      <c r="I26" s="12">
        <v>0</v>
      </c>
    </row>
    <row r="27" spans="2:9" ht="15" customHeight="1" x14ac:dyDescent="0.2">
      <c r="B27" t="s">
        <v>105</v>
      </c>
      <c r="C27" s="12">
        <v>92</v>
      </c>
      <c r="D27" s="8">
        <v>4.49</v>
      </c>
      <c r="E27" s="12">
        <v>49</v>
      </c>
      <c r="F27" s="8">
        <v>6.32</v>
      </c>
      <c r="G27" s="12">
        <v>43</v>
      </c>
      <c r="H27" s="8">
        <v>3.39</v>
      </c>
      <c r="I27" s="12">
        <v>0</v>
      </c>
    </row>
    <row r="28" spans="2:9" ht="15" customHeight="1" x14ac:dyDescent="0.2">
      <c r="B28" t="s">
        <v>108</v>
      </c>
      <c r="C28" s="12">
        <v>87</v>
      </c>
      <c r="D28" s="8">
        <v>4.25</v>
      </c>
      <c r="E28" s="12">
        <v>52</v>
      </c>
      <c r="F28" s="8">
        <v>6.71</v>
      </c>
      <c r="G28" s="12">
        <v>35</v>
      </c>
      <c r="H28" s="8">
        <v>2.76</v>
      </c>
      <c r="I28" s="12">
        <v>0</v>
      </c>
    </row>
    <row r="29" spans="2:9" ht="15" customHeight="1" x14ac:dyDescent="0.2">
      <c r="B29" t="s">
        <v>100</v>
      </c>
      <c r="C29" s="12">
        <v>81</v>
      </c>
      <c r="D29" s="8">
        <v>3.96</v>
      </c>
      <c r="E29" s="12">
        <v>3</v>
      </c>
      <c r="F29" s="8">
        <v>0.39</v>
      </c>
      <c r="G29" s="12">
        <v>78</v>
      </c>
      <c r="H29" s="8">
        <v>6.15</v>
      </c>
      <c r="I29" s="12">
        <v>0</v>
      </c>
    </row>
    <row r="30" spans="2:9" ht="15" customHeight="1" x14ac:dyDescent="0.2">
      <c r="B30" t="s">
        <v>118</v>
      </c>
      <c r="C30" s="12">
        <v>67</v>
      </c>
      <c r="D30" s="8">
        <v>3.27</v>
      </c>
      <c r="E30" s="12">
        <v>4</v>
      </c>
      <c r="F30" s="8">
        <v>0.52</v>
      </c>
      <c r="G30" s="12">
        <v>63</v>
      </c>
      <c r="H30" s="8">
        <v>4.97</v>
      </c>
      <c r="I30" s="12">
        <v>0</v>
      </c>
    </row>
    <row r="31" spans="2:9" ht="15" customHeight="1" x14ac:dyDescent="0.2">
      <c r="B31" t="s">
        <v>103</v>
      </c>
      <c r="C31" s="12">
        <v>63</v>
      </c>
      <c r="D31" s="8">
        <v>3.08</v>
      </c>
      <c r="E31" s="12">
        <v>33</v>
      </c>
      <c r="F31" s="8">
        <v>4.26</v>
      </c>
      <c r="G31" s="12">
        <v>30</v>
      </c>
      <c r="H31" s="8">
        <v>2.37</v>
      </c>
      <c r="I31" s="12">
        <v>0</v>
      </c>
    </row>
    <row r="32" spans="2:9" ht="15" customHeight="1" x14ac:dyDescent="0.2">
      <c r="B32" t="s">
        <v>95</v>
      </c>
      <c r="C32" s="12">
        <v>61</v>
      </c>
      <c r="D32" s="8">
        <v>2.98</v>
      </c>
      <c r="E32" s="12">
        <v>11</v>
      </c>
      <c r="F32" s="8">
        <v>1.42</v>
      </c>
      <c r="G32" s="12">
        <v>50</v>
      </c>
      <c r="H32" s="8">
        <v>3.94</v>
      </c>
      <c r="I32" s="12">
        <v>0</v>
      </c>
    </row>
    <row r="33" spans="2:9" ht="15" customHeight="1" x14ac:dyDescent="0.2">
      <c r="B33" t="s">
        <v>96</v>
      </c>
      <c r="C33" s="12">
        <v>60</v>
      </c>
      <c r="D33" s="8">
        <v>2.93</v>
      </c>
      <c r="E33" s="12">
        <v>4</v>
      </c>
      <c r="F33" s="8">
        <v>0.52</v>
      </c>
      <c r="G33" s="12">
        <v>56</v>
      </c>
      <c r="H33" s="8">
        <v>4.42</v>
      </c>
      <c r="I33" s="12">
        <v>0</v>
      </c>
    </row>
    <row r="34" spans="2:9" ht="15" customHeight="1" x14ac:dyDescent="0.2">
      <c r="B34" t="s">
        <v>113</v>
      </c>
      <c r="C34" s="12">
        <v>60</v>
      </c>
      <c r="D34" s="8">
        <v>2.93</v>
      </c>
      <c r="E34" s="12">
        <v>50</v>
      </c>
      <c r="F34" s="8">
        <v>6.45</v>
      </c>
      <c r="G34" s="12">
        <v>10</v>
      </c>
      <c r="H34" s="8">
        <v>0.79</v>
      </c>
      <c r="I34" s="12">
        <v>0</v>
      </c>
    </row>
    <row r="35" spans="2:9" ht="15" customHeight="1" x14ac:dyDescent="0.2">
      <c r="B35" t="s">
        <v>94</v>
      </c>
      <c r="C35" s="12">
        <v>59</v>
      </c>
      <c r="D35" s="8">
        <v>2.88</v>
      </c>
      <c r="E35" s="12">
        <v>3</v>
      </c>
      <c r="F35" s="8">
        <v>0.39</v>
      </c>
      <c r="G35" s="12">
        <v>56</v>
      </c>
      <c r="H35" s="8">
        <v>4.42</v>
      </c>
      <c r="I35" s="12">
        <v>0</v>
      </c>
    </row>
    <row r="36" spans="2:9" ht="15" customHeight="1" x14ac:dyDescent="0.2">
      <c r="B36" t="s">
        <v>99</v>
      </c>
      <c r="C36" s="12">
        <v>53</v>
      </c>
      <c r="D36" s="8">
        <v>2.59</v>
      </c>
      <c r="E36" s="12">
        <v>5</v>
      </c>
      <c r="F36" s="8">
        <v>0.65</v>
      </c>
      <c r="G36" s="12">
        <v>48</v>
      </c>
      <c r="H36" s="8">
        <v>3.79</v>
      </c>
      <c r="I36" s="12">
        <v>0</v>
      </c>
    </row>
    <row r="37" spans="2:9" ht="15" customHeight="1" x14ac:dyDescent="0.2">
      <c r="B37" t="s">
        <v>112</v>
      </c>
      <c r="C37" s="12">
        <v>49</v>
      </c>
      <c r="D37" s="8">
        <v>2.39</v>
      </c>
      <c r="E37" s="12">
        <v>28</v>
      </c>
      <c r="F37" s="8">
        <v>3.61</v>
      </c>
      <c r="G37" s="12">
        <v>21</v>
      </c>
      <c r="H37" s="8">
        <v>1.66</v>
      </c>
      <c r="I37" s="12">
        <v>0</v>
      </c>
    </row>
    <row r="38" spans="2:9" ht="15" customHeight="1" x14ac:dyDescent="0.2">
      <c r="B38" t="s">
        <v>98</v>
      </c>
      <c r="C38" s="12">
        <v>48</v>
      </c>
      <c r="D38" s="8">
        <v>2.34</v>
      </c>
      <c r="E38" s="12">
        <v>3</v>
      </c>
      <c r="F38" s="8">
        <v>0.39</v>
      </c>
      <c r="G38" s="12">
        <v>45</v>
      </c>
      <c r="H38" s="8">
        <v>3.55</v>
      </c>
      <c r="I38" s="12">
        <v>0</v>
      </c>
    </row>
    <row r="39" spans="2:9" ht="15" customHeight="1" x14ac:dyDescent="0.2">
      <c r="B39" t="s">
        <v>101</v>
      </c>
      <c r="C39" s="12">
        <v>48</v>
      </c>
      <c r="D39" s="8">
        <v>2.34</v>
      </c>
      <c r="E39" s="12">
        <v>3</v>
      </c>
      <c r="F39" s="8">
        <v>0.39</v>
      </c>
      <c r="G39" s="12">
        <v>45</v>
      </c>
      <c r="H39" s="8">
        <v>3.55</v>
      </c>
      <c r="I39" s="12">
        <v>0</v>
      </c>
    </row>
    <row r="40" spans="2:9" ht="15" customHeight="1" x14ac:dyDescent="0.2">
      <c r="B40" t="s">
        <v>102</v>
      </c>
      <c r="C40" s="12">
        <v>42</v>
      </c>
      <c r="D40" s="8">
        <v>2.0499999999999998</v>
      </c>
      <c r="E40" s="12">
        <v>13</v>
      </c>
      <c r="F40" s="8">
        <v>1.68</v>
      </c>
      <c r="G40" s="12">
        <v>29</v>
      </c>
      <c r="H40" s="8">
        <v>2.29</v>
      </c>
      <c r="I40" s="12">
        <v>0</v>
      </c>
    </row>
    <row r="41" spans="2:9" ht="15" customHeight="1" x14ac:dyDescent="0.2">
      <c r="B41" t="s">
        <v>109</v>
      </c>
      <c r="C41" s="12">
        <v>41</v>
      </c>
      <c r="D41" s="8">
        <v>2</v>
      </c>
      <c r="E41" s="12">
        <v>9</v>
      </c>
      <c r="F41" s="8">
        <v>1.1599999999999999</v>
      </c>
      <c r="G41" s="12">
        <v>32</v>
      </c>
      <c r="H41" s="8">
        <v>2.52</v>
      </c>
      <c r="I41" s="12">
        <v>0</v>
      </c>
    </row>
    <row r="42" spans="2:9" ht="15" customHeight="1" x14ac:dyDescent="0.2">
      <c r="B42" t="s">
        <v>97</v>
      </c>
      <c r="C42" s="12">
        <v>39</v>
      </c>
      <c r="D42" s="8">
        <v>1.91</v>
      </c>
      <c r="E42" s="12">
        <v>11</v>
      </c>
      <c r="F42" s="8">
        <v>1.42</v>
      </c>
      <c r="G42" s="12">
        <v>28</v>
      </c>
      <c r="H42" s="8">
        <v>2.21</v>
      </c>
      <c r="I42" s="12">
        <v>0</v>
      </c>
    </row>
    <row r="43" spans="2:9" ht="15" customHeight="1" x14ac:dyDescent="0.2">
      <c r="B43" t="s">
        <v>116</v>
      </c>
      <c r="C43" s="12">
        <v>38</v>
      </c>
      <c r="D43" s="8">
        <v>1.86</v>
      </c>
      <c r="E43" s="12">
        <v>0</v>
      </c>
      <c r="F43" s="8">
        <v>0</v>
      </c>
      <c r="G43" s="12">
        <v>38</v>
      </c>
      <c r="H43" s="8">
        <v>3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129</v>
      </c>
      <c r="D47" s="8">
        <v>6.3</v>
      </c>
      <c r="E47" s="12">
        <v>64</v>
      </c>
      <c r="F47" s="8">
        <v>8.26</v>
      </c>
      <c r="G47" s="12">
        <v>65</v>
      </c>
      <c r="H47" s="8">
        <v>5.13</v>
      </c>
      <c r="I47" s="12">
        <v>0</v>
      </c>
    </row>
    <row r="48" spans="2:9" ht="15" customHeight="1" x14ac:dyDescent="0.2">
      <c r="B48" t="s">
        <v>165</v>
      </c>
      <c r="C48" s="12">
        <v>84</v>
      </c>
      <c r="D48" s="8">
        <v>4.0999999999999996</v>
      </c>
      <c r="E48" s="12">
        <v>78</v>
      </c>
      <c r="F48" s="8">
        <v>10.06</v>
      </c>
      <c r="G48" s="12">
        <v>6</v>
      </c>
      <c r="H48" s="8">
        <v>0.47</v>
      </c>
      <c r="I48" s="12">
        <v>0</v>
      </c>
    </row>
    <row r="49" spans="2:9" ht="15" customHeight="1" x14ac:dyDescent="0.2">
      <c r="B49" t="s">
        <v>164</v>
      </c>
      <c r="C49" s="12">
        <v>65</v>
      </c>
      <c r="D49" s="8">
        <v>3.18</v>
      </c>
      <c r="E49" s="12">
        <v>53</v>
      </c>
      <c r="F49" s="8">
        <v>6.84</v>
      </c>
      <c r="G49" s="12">
        <v>12</v>
      </c>
      <c r="H49" s="8">
        <v>0.95</v>
      </c>
      <c r="I49" s="12">
        <v>0</v>
      </c>
    </row>
    <row r="50" spans="2:9" ht="15" customHeight="1" x14ac:dyDescent="0.2">
      <c r="B50" t="s">
        <v>168</v>
      </c>
      <c r="C50" s="12">
        <v>57</v>
      </c>
      <c r="D50" s="8">
        <v>2.78</v>
      </c>
      <c r="E50" s="12">
        <v>41</v>
      </c>
      <c r="F50" s="8">
        <v>5.29</v>
      </c>
      <c r="G50" s="12">
        <v>16</v>
      </c>
      <c r="H50" s="8">
        <v>1.26</v>
      </c>
      <c r="I50" s="12">
        <v>0</v>
      </c>
    </row>
    <row r="51" spans="2:9" ht="15" customHeight="1" x14ac:dyDescent="0.2">
      <c r="B51" t="s">
        <v>163</v>
      </c>
      <c r="C51" s="12">
        <v>55</v>
      </c>
      <c r="D51" s="8">
        <v>2.69</v>
      </c>
      <c r="E51" s="12">
        <v>40</v>
      </c>
      <c r="F51" s="8">
        <v>5.16</v>
      </c>
      <c r="G51" s="12">
        <v>15</v>
      </c>
      <c r="H51" s="8">
        <v>1.18</v>
      </c>
      <c r="I51" s="12">
        <v>0</v>
      </c>
    </row>
    <row r="52" spans="2:9" ht="15" customHeight="1" x14ac:dyDescent="0.2">
      <c r="B52" t="s">
        <v>167</v>
      </c>
      <c r="C52" s="12">
        <v>48</v>
      </c>
      <c r="D52" s="8">
        <v>2.34</v>
      </c>
      <c r="E52" s="12">
        <v>44</v>
      </c>
      <c r="F52" s="8">
        <v>5.68</v>
      </c>
      <c r="G52" s="12">
        <v>4</v>
      </c>
      <c r="H52" s="8">
        <v>0.32</v>
      </c>
      <c r="I52" s="12">
        <v>0</v>
      </c>
    </row>
    <row r="53" spans="2:9" ht="15" customHeight="1" x14ac:dyDescent="0.2">
      <c r="B53" t="s">
        <v>171</v>
      </c>
      <c r="C53" s="12">
        <v>46</v>
      </c>
      <c r="D53" s="8">
        <v>2.25</v>
      </c>
      <c r="E53" s="12">
        <v>38</v>
      </c>
      <c r="F53" s="8">
        <v>4.9000000000000004</v>
      </c>
      <c r="G53" s="12">
        <v>8</v>
      </c>
      <c r="H53" s="8">
        <v>0.63</v>
      </c>
      <c r="I53" s="12">
        <v>0</v>
      </c>
    </row>
    <row r="54" spans="2:9" ht="15" customHeight="1" x14ac:dyDescent="0.2">
      <c r="B54" t="s">
        <v>160</v>
      </c>
      <c r="C54" s="12">
        <v>41</v>
      </c>
      <c r="D54" s="8">
        <v>2</v>
      </c>
      <c r="E54" s="12">
        <v>6</v>
      </c>
      <c r="F54" s="8">
        <v>0.77</v>
      </c>
      <c r="G54" s="12">
        <v>35</v>
      </c>
      <c r="H54" s="8">
        <v>2.76</v>
      </c>
      <c r="I54" s="12">
        <v>0</v>
      </c>
    </row>
    <row r="55" spans="2:9" ht="15" customHeight="1" x14ac:dyDescent="0.2">
      <c r="B55" t="s">
        <v>172</v>
      </c>
      <c r="C55" s="12">
        <v>39</v>
      </c>
      <c r="D55" s="8">
        <v>1.91</v>
      </c>
      <c r="E55" s="12">
        <v>1</v>
      </c>
      <c r="F55" s="8">
        <v>0.13</v>
      </c>
      <c r="G55" s="12">
        <v>38</v>
      </c>
      <c r="H55" s="8">
        <v>3</v>
      </c>
      <c r="I55" s="12">
        <v>0</v>
      </c>
    </row>
    <row r="56" spans="2:9" ht="15" customHeight="1" x14ac:dyDescent="0.2">
      <c r="B56" t="s">
        <v>170</v>
      </c>
      <c r="C56" s="12">
        <v>34</v>
      </c>
      <c r="D56" s="8">
        <v>1.66</v>
      </c>
      <c r="E56" s="12">
        <v>22</v>
      </c>
      <c r="F56" s="8">
        <v>2.84</v>
      </c>
      <c r="G56" s="12">
        <v>12</v>
      </c>
      <c r="H56" s="8">
        <v>0.95</v>
      </c>
      <c r="I56" s="12">
        <v>0</v>
      </c>
    </row>
    <row r="57" spans="2:9" ht="15" customHeight="1" x14ac:dyDescent="0.2">
      <c r="B57" t="s">
        <v>194</v>
      </c>
      <c r="C57" s="12">
        <v>33</v>
      </c>
      <c r="D57" s="8">
        <v>1.61</v>
      </c>
      <c r="E57" s="12">
        <v>3</v>
      </c>
      <c r="F57" s="8">
        <v>0.39</v>
      </c>
      <c r="G57" s="12">
        <v>30</v>
      </c>
      <c r="H57" s="8">
        <v>2.37</v>
      </c>
      <c r="I57" s="12">
        <v>0</v>
      </c>
    </row>
    <row r="58" spans="2:9" ht="15" customHeight="1" x14ac:dyDescent="0.2">
      <c r="B58" t="s">
        <v>173</v>
      </c>
      <c r="C58" s="12">
        <v>33</v>
      </c>
      <c r="D58" s="8">
        <v>1.61</v>
      </c>
      <c r="E58" s="12">
        <v>2</v>
      </c>
      <c r="F58" s="8">
        <v>0.26</v>
      </c>
      <c r="G58" s="12">
        <v>31</v>
      </c>
      <c r="H58" s="8">
        <v>2.44</v>
      </c>
      <c r="I58" s="12">
        <v>0</v>
      </c>
    </row>
    <row r="59" spans="2:9" ht="15" customHeight="1" x14ac:dyDescent="0.2">
      <c r="B59" t="s">
        <v>158</v>
      </c>
      <c r="C59" s="12">
        <v>30</v>
      </c>
      <c r="D59" s="8">
        <v>1.47</v>
      </c>
      <c r="E59" s="12">
        <v>20</v>
      </c>
      <c r="F59" s="8">
        <v>2.58</v>
      </c>
      <c r="G59" s="12">
        <v>10</v>
      </c>
      <c r="H59" s="8">
        <v>0.79</v>
      </c>
      <c r="I59" s="12">
        <v>0</v>
      </c>
    </row>
    <row r="60" spans="2:9" ht="15" customHeight="1" x14ac:dyDescent="0.2">
      <c r="B60" t="s">
        <v>187</v>
      </c>
      <c r="C60" s="12">
        <v>28</v>
      </c>
      <c r="D60" s="8">
        <v>1.37</v>
      </c>
      <c r="E60" s="12">
        <v>1</v>
      </c>
      <c r="F60" s="8">
        <v>0.13</v>
      </c>
      <c r="G60" s="12">
        <v>27</v>
      </c>
      <c r="H60" s="8">
        <v>2.13</v>
      </c>
      <c r="I60" s="12">
        <v>0</v>
      </c>
    </row>
    <row r="61" spans="2:9" ht="15" customHeight="1" x14ac:dyDescent="0.2">
      <c r="B61" t="s">
        <v>157</v>
      </c>
      <c r="C61" s="12">
        <v>27</v>
      </c>
      <c r="D61" s="8">
        <v>1.32</v>
      </c>
      <c r="E61" s="12">
        <v>11</v>
      </c>
      <c r="F61" s="8">
        <v>1.42</v>
      </c>
      <c r="G61" s="12">
        <v>16</v>
      </c>
      <c r="H61" s="8">
        <v>1.26</v>
      </c>
      <c r="I61" s="12">
        <v>0</v>
      </c>
    </row>
    <row r="62" spans="2:9" ht="15" customHeight="1" x14ac:dyDescent="0.2">
      <c r="B62" t="s">
        <v>153</v>
      </c>
      <c r="C62" s="12">
        <v>26</v>
      </c>
      <c r="D62" s="8">
        <v>1.27</v>
      </c>
      <c r="E62" s="12">
        <v>1</v>
      </c>
      <c r="F62" s="8">
        <v>0.13</v>
      </c>
      <c r="G62" s="12">
        <v>25</v>
      </c>
      <c r="H62" s="8">
        <v>1.97</v>
      </c>
      <c r="I62" s="12">
        <v>0</v>
      </c>
    </row>
    <row r="63" spans="2:9" ht="15" customHeight="1" x14ac:dyDescent="0.2">
      <c r="B63" t="s">
        <v>186</v>
      </c>
      <c r="C63" s="12">
        <v>26</v>
      </c>
      <c r="D63" s="8">
        <v>1.27</v>
      </c>
      <c r="E63" s="12">
        <v>12</v>
      </c>
      <c r="F63" s="8">
        <v>1.55</v>
      </c>
      <c r="G63" s="12">
        <v>14</v>
      </c>
      <c r="H63" s="8">
        <v>1.1000000000000001</v>
      </c>
      <c r="I63" s="12">
        <v>0</v>
      </c>
    </row>
    <row r="64" spans="2:9" ht="15" customHeight="1" x14ac:dyDescent="0.2">
      <c r="B64" t="s">
        <v>175</v>
      </c>
      <c r="C64" s="12">
        <v>24</v>
      </c>
      <c r="D64" s="8">
        <v>1.17</v>
      </c>
      <c r="E64" s="12">
        <v>18</v>
      </c>
      <c r="F64" s="8">
        <v>2.3199999999999998</v>
      </c>
      <c r="G64" s="12">
        <v>6</v>
      </c>
      <c r="H64" s="8">
        <v>0.47</v>
      </c>
      <c r="I64" s="12">
        <v>0</v>
      </c>
    </row>
    <row r="65" spans="2:9" ht="15" customHeight="1" x14ac:dyDescent="0.2">
      <c r="B65" t="s">
        <v>195</v>
      </c>
      <c r="C65" s="12">
        <v>23</v>
      </c>
      <c r="D65" s="8">
        <v>1.1200000000000001</v>
      </c>
      <c r="E65" s="12">
        <v>2</v>
      </c>
      <c r="F65" s="8">
        <v>0.26</v>
      </c>
      <c r="G65" s="12">
        <v>21</v>
      </c>
      <c r="H65" s="8">
        <v>1.66</v>
      </c>
      <c r="I65" s="12">
        <v>0</v>
      </c>
    </row>
    <row r="66" spans="2:9" ht="15" customHeight="1" x14ac:dyDescent="0.2">
      <c r="B66" t="s">
        <v>179</v>
      </c>
      <c r="C66" s="12">
        <v>23</v>
      </c>
      <c r="D66" s="8">
        <v>1.1200000000000001</v>
      </c>
      <c r="E66" s="12">
        <v>12</v>
      </c>
      <c r="F66" s="8">
        <v>1.55</v>
      </c>
      <c r="G66" s="12">
        <v>11</v>
      </c>
      <c r="H66" s="8">
        <v>0.87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CD1F-0421-4EAA-B2B0-BC0D39F9BBA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614</v>
      </c>
      <c r="D6" s="8">
        <v>13.18</v>
      </c>
      <c r="E6" s="12">
        <v>76</v>
      </c>
      <c r="F6" s="8">
        <v>4.0599999999999996</v>
      </c>
      <c r="G6" s="12">
        <v>538</v>
      </c>
      <c r="H6" s="8">
        <v>19.3</v>
      </c>
      <c r="I6" s="12">
        <v>0</v>
      </c>
    </row>
    <row r="7" spans="2:9" ht="15" customHeight="1" x14ac:dyDescent="0.2">
      <c r="B7" t="s">
        <v>73</v>
      </c>
      <c r="C7" s="12">
        <v>968</v>
      </c>
      <c r="D7" s="8">
        <v>20.78</v>
      </c>
      <c r="E7" s="12">
        <v>272</v>
      </c>
      <c r="F7" s="8">
        <v>14.55</v>
      </c>
      <c r="G7" s="12">
        <v>696</v>
      </c>
      <c r="H7" s="8">
        <v>24.97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2">
      <c r="B9" t="s">
        <v>75</v>
      </c>
      <c r="C9" s="12">
        <v>35</v>
      </c>
      <c r="D9" s="8">
        <v>0.75</v>
      </c>
      <c r="E9" s="12">
        <v>2</v>
      </c>
      <c r="F9" s="8">
        <v>0.11</v>
      </c>
      <c r="G9" s="12">
        <v>33</v>
      </c>
      <c r="H9" s="8">
        <v>1.18</v>
      </c>
      <c r="I9" s="12">
        <v>0</v>
      </c>
    </row>
    <row r="10" spans="2:9" ht="15" customHeight="1" x14ac:dyDescent="0.2">
      <c r="B10" t="s">
        <v>76</v>
      </c>
      <c r="C10" s="12">
        <v>63</v>
      </c>
      <c r="D10" s="8">
        <v>1.35</v>
      </c>
      <c r="E10" s="12">
        <v>8</v>
      </c>
      <c r="F10" s="8">
        <v>0.43</v>
      </c>
      <c r="G10" s="12">
        <v>55</v>
      </c>
      <c r="H10" s="8">
        <v>1.97</v>
      </c>
      <c r="I10" s="12">
        <v>0</v>
      </c>
    </row>
    <row r="11" spans="2:9" ht="15" customHeight="1" x14ac:dyDescent="0.2">
      <c r="B11" t="s">
        <v>77</v>
      </c>
      <c r="C11" s="12">
        <v>979</v>
      </c>
      <c r="D11" s="8">
        <v>21.01</v>
      </c>
      <c r="E11" s="12">
        <v>341</v>
      </c>
      <c r="F11" s="8">
        <v>18.239999999999998</v>
      </c>
      <c r="G11" s="12">
        <v>638</v>
      </c>
      <c r="H11" s="8">
        <v>22.89</v>
      </c>
      <c r="I11" s="12">
        <v>0</v>
      </c>
    </row>
    <row r="12" spans="2:9" ht="15" customHeight="1" x14ac:dyDescent="0.2">
      <c r="B12" t="s">
        <v>78</v>
      </c>
      <c r="C12" s="12">
        <v>24</v>
      </c>
      <c r="D12" s="8">
        <v>0.52</v>
      </c>
      <c r="E12" s="12">
        <v>1</v>
      </c>
      <c r="F12" s="8">
        <v>0.05</v>
      </c>
      <c r="G12" s="12">
        <v>23</v>
      </c>
      <c r="H12" s="8">
        <v>0.83</v>
      </c>
      <c r="I12" s="12">
        <v>0</v>
      </c>
    </row>
    <row r="13" spans="2:9" ht="15" customHeight="1" x14ac:dyDescent="0.2">
      <c r="B13" t="s">
        <v>79</v>
      </c>
      <c r="C13" s="12">
        <v>298</v>
      </c>
      <c r="D13" s="8">
        <v>6.4</v>
      </c>
      <c r="E13" s="12">
        <v>18</v>
      </c>
      <c r="F13" s="8">
        <v>0.96</v>
      </c>
      <c r="G13" s="12">
        <v>280</v>
      </c>
      <c r="H13" s="8">
        <v>10.050000000000001</v>
      </c>
      <c r="I13" s="12">
        <v>0</v>
      </c>
    </row>
    <row r="14" spans="2:9" ht="15" customHeight="1" x14ac:dyDescent="0.2">
      <c r="B14" t="s">
        <v>80</v>
      </c>
      <c r="C14" s="12">
        <v>190</v>
      </c>
      <c r="D14" s="8">
        <v>4.08</v>
      </c>
      <c r="E14" s="12">
        <v>100</v>
      </c>
      <c r="F14" s="8">
        <v>5.35</v>
      </c>
      <c r="G14" s="12">
        <v>90</v>
      </c>
      <c r="H14" s="8">
        <v>3.23</v>
      </c>
      <c r="I14" s="12">
        <v>0</v>
      </c>
    </row>
    <row r="15" spans="2:9" ht="15" customHeight="1" x14ac:dyDescent="0.2">
      <c r="B15" t="s">
        <v>81</v>
      </c>
      <c r="C15" s="12">
        <v>481</v>
      </c>
      <c r="D15" s="8">
        <v>10.32</v>
      </c>
      <c r="E15" s="12">
        <v>411</v>
      </c>
      <c r="F15" s="8">
        <v>21.98</v>
      </c>
      <c r="G15" s="12">
        <v>70</v>
      </c>
      <c r="H15" s="8">
        <v>2.5099999999999998</v>
      </c>
      <c r="I15" s="12">
        <v>0</v>
      </c>
    </row>
    <row r="16" spans="2:9" ht="15" customHeight="1" x14ac:dyDescent="0.2">
      <c r="B16" t="s">
        <v>82</v>
      </c>
      <c r="C16" s="12">
        <v>478</v>
      </c>
      <c r="D16" s="8">
        <v>10.26</v>
      </c>
      <c r="E16" s="12">
        <v>349</v>
      </c>
      <c r="F16" s="8">
        <v>18.66</v>
      </c>
      <c r="G16" s="12">
        <v>129</v>
      </c>
      <c r="H16" s="8">
        <v>4.63</v>
      </c>
      <c r="I16" s="12">
        <v>0</v>
      </c>
    </row>
    <row r="17" spans="2:9" ht="15" customHeight="1" x14ac:dyDescent="0.2">
      <c r="B17" t="s">
        <v>83</v>
      </c>
      <c r="C17" s="12">
        <v>134</v>
      </c>
      <c r="D17" s="8">
        <v>2.88</v>
      </c>
      <c r="E17" s="12">
        <v>88</v>
      </c>
      <c r="F17" s="8">
        <v>4.71</v>
      </c>
      <c r="G17" s="12">
        <v>46</v>
      </c>
      <c r="H17" s="8">
        <v>1.65</v>
      </c>
      <c r="I17" s="12">
        <v>0</v>
      </c>
    </row>
    <row r="18" spans="2:9" ht="15" customHeight="1" x14ac:dyDescent="0.2">
      <c r="B18" t="s">
        <v>84</v>
      </c>
      <c r="C18" s="12">
        <v>211</v>
      </c>
      <c r="D18" s="8">
        <v>4.53</v>
      </c>
      <c r="E18" s="12">
        <v>137</v>
      </c>
      <c r="F18" s="8">
        <v>7.33</v>
      </c>
      <c r="G18" s="12">
        <v>72</v>
      </c>
      <c r="H18" s="8">
        <v>2.58</v>
      </c>
      <c r="I18" s="12">
        <v>2</v>
      </c>
    </row>
    <row r="19" spans="2:9" ht="15" customHeight="1" x14ac:dyDescent="0.2">
      <c r="B19" t="s">
        <v>85</v>
      </c>
      <c r="C19" s="12">
        <v>183</v>
      </c>
      <c r="D19" s="8">
        <v>3.93</v>
      </c>
      <c r="E19" s="12">
        <v>67</v>
      </c>
      <c r="F19" s="8">
        <v>3.58</v>
      </c>
      <c r="G19" s="12">
        <v>116</v>
      </c>
      <c r="H19" s="8">
        <v>4.16</v>
      </c>
      <c r="I19" s="12">
        <v>0</v>
      </c>
    </row>
    <row r="20" spans="2:9" ht="15" customHeight="1" x14ac:dyDescent="0.2">
      <c r="B20" s="9" t="s">
        <v>277</v>
      </c>
      <c r="C20" s="12">
        <f>SUM(LTBL_23110[総数／事業所数])</f>
        <v>4659</v>
      </c>
      <c r="E20" s="12">
        <f>SUBTOTAL(109,LTBL_23110[個人／事業所数])</f>
        <v>1870</v>
      </c>
      <c r="G20" s="12">
        <f>SUBTOTAL(109,LTBL_23110[法人／事業所数])</f>
        <v>2787</v>
      </c>
      <c r="I20" s="12">
        <f>SUBTOTAL(109,LTBL_23110[法人以外の団体／事業所数])</f>
        <v>2</v>
      </c>
    </row>
    <row r="21" spans="2:9" ht="15" customHeight="1" x14ac:dyDescent="0.2">
      <c r="E21" s="11">
        <f>LTBL_23110[[#Totals],[個人／事業所数]]/LTBL_23110[[#Totals],[総数／事業所数]]</f>
        <v>0.40137368534020174</v>
      </c>
      <c r="G21" s="11">
        <f>LTBL_23110[[#Totals],[法人／事業所数]]/LTBL_23110[[#Totals],[総数／事業所数]]</f>
        <v>0.59819703799098523</v>
      </c>
      <c r="I21" s="11">
        <f>LTBL_23110[[#Totals],[法人以外の団体／事業所数]]/LTBL_23110[[#Totals],[総数／事業所数]]</f>
        <v>4.2927666881305E-4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448</v>
      </c>
      <c r="D24" s="8">
        <v>9.6199999999999992</v>
      </c>
      <c r="E24" s="12">
        <v>397</v>
      </c>
      <c r="F24" s="8">
        <v>21.23</v>
      </c>
      <c r="G24" s="12">
        <v>51</v>
      </c>
      <c r="H24" s="8">
        <v>1.83</v>
      </c>
      <c r="I24" s="12">
        <v>0</v>
      </c>
    </row>
    <row r="25" spans="2:9" ht="15" customHeight="1" x14ac:dyDescent="0.2">
      <c r="B25" t="s">
        <v>111</v>
      </c>
      <c r="C25" s="12">
        <v>387</v>
      </c>
      <c r="D25" s="8">
        <v>8.31</v>
      </c>
      <c r="E25" s="12">
        <v>324</v>
      </c>
      <c r="F25" s="8">
        <v>17.329999999999998</v>
      </c>
      <c r="G25" s="12">
        <v>63</v>
      </c>
      <c r="H25" s="8">
        <v>2.2599999999999998</v>
      </c>
      <c r="I25" s="12">
        <v>0</v>
      </c>
    </row>
    <row r="26" spans="2:9" ht="15" customHeight="1" x14ac:dyDescent="0.2">
      <c r="B26" t="s">
        <v>107</v>
      </c>
      <c r="C26" s="12">
        <v>238</v>
      </c>
      <c r="D26" s="8">
        <v>5.1100000000000003</v>
      </c>
      <c r="E26" s="12">
        <v>12</v>
      </c>
      <c r="F26" s="8">
        <v>0.64</v>
      </c>
      <c r="G26" s="12">
        <v>226</v>
      </c>
      <c r="H26" s="8">
        <v>8.11</v>
      </c>
      <c r="I26" s="12">
        <v>0</v>
      </c>
    </row>
    <row r="27" spans="2:9" ht="15" customHeight="1" x14ac:dyDescent="0.2">
      <c r="B27" t="s">
        <v>95</v>
      </c>
      <c r="C27" s="12">
        <v>237</v>
      </c>
      <c r="D27" s="8">
        <v>5.09</v>
      </c>
      <c r="E27" s="12">
        <v>33</v>
      </c>
      <c r="F27" s="8">
        <v>1.76</v>
      </c>
      <c r="G27" s="12">
        <v>204</v>
      </c>
      <c r="H27" s="8">
        <v>7.32</v>
      </c>
      <c r="I27" s="12">
        <v>0</v>
      </c>
    </row>
    <row r="28" spans="2:9" ht="15" customHeight="1" x14ac:dyDescent="0.2">
      <c r="B28" t="s">
        <v>96</v>
      </c>
      <c r="C28" s="12">
        <v>206</v>
      </c>
      <c r="D28" s="8">
        <v>4.42</v>
      </c>
      <c r="E28" s="12">
        <v>29</v>
      </c>
      <c r="F28" s="8">
        <v>1.55</v>
      </c>
      <c r="G28" s="12">
        <v>177</v>
      </c>
      <c r="H28" s="8">
        <v>6.35</v>
      </c>
      <c r="I28" s="12">
        <v>0</v>
      </c>
    </row>
    <row r="29" spans="2:9" ht="15" customHeight="1" x14ac:dyDescent="0.2">
      <c r="B29" t="s">
        <v>105</v>
      </c>
      <c r="C29" s="12">
        <v>194</v>
      </c>
      <c r="D29" s="8">
        <v>4.16</v>
      </c>
      <c r="E29" s="12">
        <v>89</v>
      </c>
      <c r="F29" s="8">
        <v>4.76</v>
      </c>
      <c r="G29" s="12">
        <v>105</v>
      </c>
      <c r="H29" s="8">
        <v>3.77</v>
      </c>
      <c r="I29" s="12">
        <v>0</v>
      </c>
    </row>
    <row r="30" spans="2:9" ht="15" customHeight="1" x14ac:dyDescent="0.2">
      <c r="B30" t="s">
        <v>97</v>
      </c>
      <c r="C30" s="12">
        <v>185</v>
      </c>
      <c r="D30" s="8">
        <v>3.97</v>
      </c>
      <c r="E30" s="12">
        <v>51</v>
      </c>
      <c r="F30" s="8">
        <v>2.73</v>
      </c>
      <c r="G30" s="12">
        <v>134</v>
      </c>
      <c r="H30" s="8">
        <v>4.8099999999999996</v>
      </c>
      <c r="I30" s="12">
        <v>0</v>
      </c>
    </row>
    <row r="31" spans="2:9" ht="15" customHeight="1" x14ac:dyDescent="0.2">
      <c r="B31" t="s">
        <v>94</v>
      </c>
      <c r="C31" s="12">
        <v>171</v>
      </c>
      <c r="D31" s="8">
        <v>3.67</v>
      </c>
      <c r="E31" s="12">
        <v>14</v>
      </c>
      <c r="F31" s="8">
        <v>0.75</v>
      </c>
      <c r="G31" s="12">
        <v>157</v>
      </c>
      <c r="H31" s="8">
        <v>5.63</v>
      </c>
      <c r="I31" s="12">
        <v>0</v>
      </c>
    </row>
    <row r="32" spans="2:9" ht="15" customHeight="1" x14ac:dyDescent="0.2">
      <c r="B32" t="s">
        <v>104</v>
      </c>
      <c r="C32" s="12">
        <v>170</v>
      </c>
      <c r="D32" s="8">
        <v>3.65</v>
      </c>
      <c r="E32" s="12">
        <v>74</v>
      </c>
      <c r="F32" s="8">
        <v>3.96</v>
      </c>
      <c r="G32" s="12">
        <v>96</v>
      </c>
      <c r="H32" s="8">
        <v>3.44</v>
      </c>
      <c r="I32" s="12">
        <v>0</v>
      </c>
    </row>
    <row r="33" spans="2:9" ht="15" customHeight="1" x14ac:dyDescent="0.2">
      <c r="B33" t="s">
        <v>98</v>
      </c>
      <c r="C33" s="12">
        <v>167</v>
      </c>
      <c r="D33" s="8">
        <v>3.58</v>
      </c>
      <c r="E33" s="12">
        <v>35</v>
      </c>
      <c r="F33" s="8">
        <v>1.87</v>
      </c>
      <c r="G33" s="12">
        <v>132</v>
      </c>
      <c r="H33" s="8">
        <v>4.74</v>
      </c>
      <c r="I33" s="12">
        <v>0</v>
      </c>
    </row>
    <row r="34" spans="2:9" ht="15" customHeight="1" x14ac:dyDescent="0.2">
      <c r="B34" t="s">
        <v>113</v>
      </c>
      <c r="C34" s="12">
        <v>160</v>
      </c>
      <c r="D34" s="8">
        <v>3.43</v>
      </c>
      <c r="E34" s="12">
        <v>136</v>
      </c>
      <c r="F34" s="8">
        <v>7.27</v>
      </c>
      <c r="G34" s="12">
        <v>24</v>
      </c>
      <c r="H34" s="8">
        <v>0.86</v>
      </c>
      <c r="I34" s="12">
        <v>0</v>
      </c>
    </row>
    <row r="35" spans="2:9" ht="15" customHeight="1" x14ac:dyDescent="0.2">
      <c r="B35" t="s">
        <v>112</v>
      </c>
      <c r="C35" s="12">
        <v>134</v>
      </c>
      <c r="D35" s="8">
        <v>2.88</v>
      </c>
      <c r="E35" s="12">
        <v>88</v>
      </c>
      <c r="F35" s="8">
        <v>4.71</v>
      </c>
      <c r="G35" s="12">
        <v>46</v>
      </c>
      <c r="H35" s="8">
        <v>1.65</v>
      </c>
      <c r="I35" s="12">
        <v>0</v>
      </c>
    </row>
    <row r="36" spans="2:9" ht="15" customHeight="1" x14ac:dyDescent="0.2">
      <c r="B36" t="s">
        <v>100</v>
      </c>
      <c r="C36" s="12">
        <v>131</v>
      </c>
      <c r="D36" s="8">
        <v>2.81</v>
      </c>
      <c r="E36" s="12">
        <v>17</v>
      </c>
      <c r="F36" s="8">
        <v>0.91</v>
      </c>
      <c r="G36" s="12">
        <v>114</v>
      </c>
      <c r="H36" s="8">
        <v>4.09</v>
      </c>
      <c r="I36" s="12">
        <v>0</v>
      </c>
    </row>
    <row r="37" spans="2:9" ht="15" customHeight="1" x14ac:dyDescent="0.2">
      <c r="B37" t="s">
        <v>103</v>
      </c>
      <c r="C37" s="12">
        <v>122</v>
      </c>
      <c r="D37" s="8">
        <v>2.62</v>
      </c>
      <c r="E37" s="12">
        <v>94</v>
      </c>
      <c r="F37" s="8">
        <v>5.03</v>
      </c>
      <c r="G37" s="12">
        <v>28</v>
      </c>
      <c r="H37" s="8">
        <v>1</v>
      </c>
      <c r="I37" s="12">
        <v>0</v>
      </c>
    </row>
    <row r="38" spans="2:9" ht="15" customHeight="1" x14ac:dyDescent="0.2">
      <c r="B38" t="s">
        <v>99</v>
      </c>
      <c r="C38" s="12">
        <v>119</v>
      </c>
      <c r="D38" s="8">
        <v>2.5499999999999998</v>
      </c>
      <c r="E38" s="12">
        <v>14</v>
      </c>
      <c r="F38" s="8">
        <v>0.75</v>
      </c>
      <c r="G38" s="12">
        <v>105</v>
      </c>
      <c r="H38" s="8">
        <v>3.77</v>
      </c>
      <c r="I38" s="12">
        <v>0</v>
      </c>
    </row>
    <row r="39" spans="2:9" ht="15" customHeight="1" x14ac:dyDescent="0.2">
      <c r="B39" t="s">
        <v>108</v>
      </c>
      <c r="C39" s="12">
        <v>117</v>
      </c>
      <c r="D39" s="8">
        <v>2.5099999999999998</v>
      </c>
      <c r="E39" s="12">
        <v>70</v>
      </c>
      <c r="F39" s="8">
        <v>3.74</v>
      </c>
      <c r="G39" s="12">
        <v>47</v>
      </c>
      <c r="H39" s="8">
        <v>1.69</v>
      </c>
      <c r="I39" s="12">
        <v>0</v>
      </c>
    </row>
    <row r="40" spans="2:9" ht="15" customHeight="1" x14ac:dyDescent="0.2">
      <c r="B40" t="s">
        <v>101</v>
      </c>
      <c r="C40" s="12">
        <v>92</v>
      </c>
      <c r="D40" s="8">
        <v>1.97</v>
      </c>
      <c r="E40" s="12">
        <v>13</v>
      </c>
      <c r="F40" s="8">
        <v>0.7</v>
      </c>
      <c r="G40" s="12">
        <v>79</v>
      </c>
      <c r="H40" s="8">
        <v>2.83</v>
      </c>
      <c r="I40" s="12">
        <v>0</v>
      </c>
    </row>
    <row r="41" spans="2:9" ht="15" customHeight="1" x14ac:dyDescent="0.2">
      <c r="B41" t="s">
        <v>122</v>
      </c>
      <c r="C41" s="12">
        <v>89</v>
      </c>
      <c r="D41" s="8">
        <v>1.91</v>
      </c>
      <c r="E41" s="12">
        <v>45</v>
      </c>
      <c r="F41" s="8">
        <v>2.41</v>
      </c>
      <c r="G41" s="12">
        <v>44</v>
      </c>
      <c r="H41" s="8">
        <v>1.58</v>
      </c>
      <c r="I41" s="12">
        <v>0</v>
      </c>
    </row>
    <row r="42" spans="2:9" ht="15" customHeight="1" x14ac:dyDescent="0.2">
      <c r="B42" t="s">
        <v>121</v>
      </c>
      <c r="C42" s="12">
        <v>85</v>
      </c>
      <c r="D42" s="8">
        <v>1.82</v>
      </c>
      <c r="E42" s="12">
        <v>35</v>
      </c>
      <c r="F42" s="8">
        <v>1.87</v>
      </c>
      <c r="G42" s="12">
        <v>50</v>
      </c>
      <c r="H42" s="8">
        <v>1.79</v>
      </c>
      <c r="I42" s="12">
        <v>0</v>
      </c>
    </row>
    <row r="43" spans="2:9" ht="15" customHeight="1" x14ac:dyDescent="0.2">
      <c r="B43" t="s">
        <v>115</v>
      </c>
      <c r="C43" s="12">
        <v>70</v>
      </c>
      <c r="D43" s="8">
        <v>1.5</v>
      </c>
      <c r="E43" s="12">
        <v>15</v>
      </c>
      <c r="F43" s="8">
        <v>0.8</v>
      </c>
      <c r="G43" s="12">
        <v>55</v>
      </c>
      <c r="H43" s="8">
        <v>1.97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171</v>
      </c>
      <c r="D47" s="8">
        <v>3.67</v>
      </c>
      <c r="E47" s="12">
        <v>149</v>
      </c>
      <c r="F47" s="8">
        <v>7.97</v>
      </c>
      <c r="G47" s="12">
        <v>22</v>
      </c>
      <c r="H47" s="8">
        <v>0.79</v>
      </c>
      <c r="I47" s="12">
        <v>0</v>
      </c>
    </row>
    <row r="48" spans="2:9" ht="15" customHeight="1" x14ac:dyDescent="0.2">
      <c r="B48" t="s">
        <v>165</v>
      </c>
      <c r="C48" s="12">
        <v>144</v>
      </c>
      <c r="D48" s="8">
        <v>3.09</v>
      </c>
      <c r="E48" s="12">
        <v>138</v>
      </c>
      <c r="F48" s="8">
        <v>7.38</v>
      </c>
      <c r="G48" s="12">
        <v>6</v>
      </c>
      <c r="H48" s="8">
        <v>0.22</v>
      </c>
      <c r="I48" s="12">
        <v>0</v>
      </c>
    </row>
    <row r="49" spans="2:9" ht="15" customHeight="1" x14ac:dyDescent="0.2">
      <c r="B49" t="s">
        <v>167</v>
      </c>
      <c r="C49" s="12">
        <v>130</v>
      </c>
      <c r="D49" s="8">
        <v>2.79</v>
      </c>
      <c r="E49" s="12">
        <v>127</v>
      </c>
      <c r="F49" s="8">
        <v>6.79</v>
      </c>
      <c r="G49" s="12">
        <v>3</v>
      </c>
      <c r="H49" s="8">
        <v>0.11</v>
      </c>
      <c r="I49" s="12">
        <v>0</v>
      </c>
    </row>
    <row r="50" spans="2:9" ht="15" customHeight="1" x14ac:dyDescent="0.2">
      <c r="B50" t="s">
        <v>161</v>
      </c>
      <c r="C50" s="12">
        <v>127</v>
      </c>
      <c r="D50" s="8">
        <v>2.73</v>
      </c>
      <c r="E50" s="12">
        <v>4</v>
      </c>
      <c r="F50" s="8">
        <v>0.21</v>
      </c>
      <c r="G50" s="12">
        <v>123</v>
      </c>
      <c r="H50" s="8">
        <v>4.41</v>
      </c>
      <c r="I50" s="12">
        <v>0</v>
      </c>
    </row>
    <row r="51" spans="2:9" ht="15" customHeight="1" x14ac:dyDescent="0.2">
      <c r="B51" t="s">
        <v>171</v>
      </c>
      <c r="C51" s="12">
        <v>122</v>
      </c>
      <c r="D51" s="8">
        <v>2.62</v>
      </c>
      <c r="E51" s="12">
        <v>103</v>
      </c>
      <c r="F51" s="8">
        <v>5.51</v>
      </c>
      <c r="G51" s="12">
        <v>19</v>
      </c>
      <c r="H51" s="8">
        <v>0.68</v>
      </c>
      <c r="I51" s="12">
        <v>0</v>
      </c>
    </row>
    <row r="52" spans="2:9" ht="15" customHeight="1" x14ac:dyDescent="0.2">
      <c r="B52" t="s">
        <v>164</v>
      </c>
      <c r="C52" s="12">
        <v>108</v>
      </c>
      <c r="D52" s="8">
        <v>2.3199999999999998</v>
      </c>
      <c r="E52" s="12">
        <v>99</v>
      </c>
      <c r="F52" s="8">
        <v>5.29</v>
      </c>
      <c r="G52" s="12">
        <v>9</v>
      </c>
      <c r="H52" s="8">
        <v>0.32</v>
      </c>
      <c r="I52" s="12">
        <v>0</v>
      </c>
    </row>
    <row r="53" spans="2:9" ht="15" customHeight="1" x14ac:dyDescent="0.2">
      <c r="B53" t="s">
        <v>163</v>
      </c>
      <c r="C53" s="12">
        <v>106</v>
      </c>
      <c r="D53" s="8">
        <v>2.2799999999999998</v>
      </c>
      <c r="E53" s="12">
        <v>82</v>
      </c>
      <c r="F53" s="8">
        <v>4.3899999999999997</v>
      </c>
      <c r="G53" s="12">
        <v>24</v>
      </c>
      <c r="H53" s="8">
        <v>0.86</v>
      </c>
      <c r="I53" s="12">
        <v>0</v>
      </c>
    </row>
    <row r="54" spans="2:9" ht="15" customHeight="1" x14ac:dyDescent="0.2">
      <c r="B54" t="s">
        <v>156</v>
      </c>
      <c r="C54" s="12">
        <v>97</v>
      </c>
      <c r="D54" s="8">
        <v>2.08</v>
      </c>
      <c r="E54" s="12">
        <v>33</v>
      </c>
      <c r="F54" s="8">
        <v>1.76</v>
      </c>
      <c r="G54" s="12">
        <v>64</v>
      </c>
      <c r="H54" s="8">
        <v>2.2999999999999998</v>
      </c>
      <c r="I54" s="12">
        <v>0</v>
      </c>
    </row>
    <row r="55" spans="2:9" ht="15" customHeight="1" x14ac:dyDescent="0.2">
      <c r="B55" t="s">
        <v>188</v>
      </c>
      <c r="C55" s="12">
        <v>89</v>
      </c>
      <c r="D55" s="8">
        <v>1.91</v>
      </c>
      <c r="E55" s="12">
        <v>45</v>
      </c>
      <c r="F55" s="8">
        <v>2.41</v>
      </c>
      <c r="G55" s="12">
        <v>44</v>
      </c>
      <c r="H55" s="8">
        <v>1.58</v>
      </c>
      <c r="I55" s="12">
        <v>0</v>
      </c>
    </row>
    <row r="56" spans="2:9" ht="15" customHeight="1" x14ac:dyDescent="0.2">
      <c r="B56" t="s">
        <v>170</v>
      </c>
      <c r="C56" s="12">
        <v>87</v>
      </c>
      <c r="D56" s="8">
        <v>1.87</v>
      </c>
      <c r="E56" s="12">
        <v>58</v>
      </c>
      <c r="F56" s="8">
        <v>3.1</v>
      </c>
      <c r="G56" s="12">
        <v>29</v>
      </c>
      <c r="H56" s="8">
        <v>1.04</v>
      </c>
      <c r="I56" s="12">
        <v>0</v>
      </c>
    </row>
    <row r="57" spans="2:9" ht="15" customHeight="1" x14ac:dyDescent="0.2">
      <c r="B57" t="s">
        <v>154</v>
      </c>
      <c r="C57" s="12">
        <v>83</v>
      </c>
      <c r="D57" s="8">
        <v>1.78</v>
      </c>
      <c r="E57" s="12">
        <v>18</v>
      </c>
      <c r="F57" s="8">
        <v>0.96</v>
      </c>
      <c r="G57" s="12">
        <v>65</v>
      </c>
      <c r="H57" s="8">
        <v>2.33</v>
      </c>
      <c r="I57" s="12">
        <v>0</v>
      </c>
    </row>
    <row r="58" spans="2:9" ht="15" customHeight="1" x14ac:dyDescent="0.2">
      <c r="B58" t="s">
        <v>196</v>
      </c>
      <c r="C58" s="12">
        <v>79</v>
      </c>
      <c r="D58" s="8">
        <v>1.7</v>
      </c>
      <c r="E58" s="12">
        <v>21</v>
      </c>
      <c r="F58" s="8">
        <v>1.1200000000000001</v>
      </c>
      <c r="G58" s="12">
        <v>58</v>
      </c>
      <c r="H58" s="8">
        <v>2.08</v>
      </c>
      <c r="I58" s="12">
        <v>0</v>
      </c>
    </row>
    <row r="59" spans="2:9" ht="15" customHeight="1" x14ac:dyDescent="0.2">
      <c r="B59" t="s">
        <v>155</v>
      </c>
      <c r="C59" s="12">
        <v>74</v>
      </c>
      <c r="D59" s="8">
        <v>1.59</v>
      </c>
      <c r="E59" s="12">
        <v>9</v>
      </c>
      <c r="F59" s="8">
        <v>0.48</v>
      </c>
      <c r="G59" s="12">
        <v>65</v>
      </c>
      <c r="H59" s="8">
        <v>2.33</v>
      </c>
      <c r="I59" s="12">
        <v>0</v>
      </c>
    </row>
    <row r="60" spans="2:9" ht="15" customHeight="1" x14ac:dyDescent="0.2">
      <c r="B60" t="s">
        <v>197</v>
      </c>
      <c r="C60" s="12">
        <v>71</v>
      </c>
      <c r="D60" s="8">
        <v>1.52</v>
      </c>
      <c r="E60" s="12">
        <v>13</v>
      </c>
      <c r="F60" s="8">
        <v>0.7</v>
      </c>
      <c r="G60" s="12">
        <v>58</v>
      </c>
      <c r="H60" s="8">
        <v>2.08</v>
      </c>
      <c r="I60" s="12">
        <v>0</v>
      </c>
    </row>
    <row r="61" spans="2:9" ht="15" customHeight="1" x14ac:dyDescent="0.2">
      <c r="B61" t="s">
        <v>172</v>
      </c>
      <c r="C61" s="12">
        <v>68</v>
      </c>
      <c r="D61" s="8">
        <v>1.46</v>
      </c>
      <c r="E61" s="12">
        <v>8</v>
      </c>
      <c r="F61" s="8">
        <v>0.43</v>
      </c>
      <c r="G61" s="12">
        <v>60</v>
      </c>
      <c r="H61" s="8">
        <v>2.15</v>
      </c>
      <c r="I61" s="12">
        <v>0</v>
      </c>
    </row>
    <row r="62" spans="2:9" ht="15" customHeight="1" x14ac:dyDescent="0.2">
      <c r="B62" t="s">
        <v>186</v>
      </c>
      <c r="C62" s="12">
        <v>65</v>
      </c>
      <c r="D62" s="8">
        <v>1.4</v>
      </c>
      <c r="E62" s="12">
        <v>47</v>
      </c>
      <c r="F62" s="8">
        <v>2.5099999999999998</v>
      </c>
      <c r="G62" s="12">
        <v>18</v>
      </c>
      <c r="H62" s="8">
        <v>0.65</v>
      </c>
      <c r="I62" s="12">
        <v>0</v>
      </c>
    </row>
    <row r="63" spans="2:9" ht="15" customHeight="1" x14ac:dyDescent="0.2">
      <c r="B63" t="s">
        <v>173</v>
      </c>
      <c r="C63" s="12">
        <v>64</v>
      </c>
      <c r="D63" s="8">
        <v>1.37</v>
      </c>
      <c r="E63" s="12">
        <v>9</v>
      </c>
      <c r="F63" s="8">
        <v>0.48</v>
      </c>
      <c r="G63" s="12">
        <v>55</v>
      </c>
      <c r="H63" s="8">
        <v>1.97</v>
      </c>
      <c r="I63" s="12">
        <v>0</v>
      </c>
    </row>
    <row r="64" spans="2:9" ht="15" customHeight="1" x14ac:dyDescent="0.2">
      <c r="B64" t="s">
        <v>166</v>
      </c>
      <c r="C64" s="12">
        <v>61</v>
      </c>
      <c r="D64" s="8">
        <v>1.31</v>
      </c>
      <c r="E64" s="12">
        <v>34</v>
      </c>
      <c r="F64" s="8">
        <v>1.82</v>
      </c>
      <c r="G64" s="12">
        <v>27</v>
      </c>
      <c r="H64" s="8">
        <v>0.97</v>
      </c>
      <c r="I64" s="12">
        <v>0</v>
      </c>
    </row>
    <row r="65" spans="2:9" ht="15" customHeight="1" x14ac:dyDescent="0.2">
      <c r="B65" t="s">
        <v>158</v>
      </c>
      <c r="C65" s="12">
        <v>59</v>
      </c>
      <c r="D65" s="8">
        <v>1.27</v>
      </c>
      <c r="E65" s="12">
        <v>35</v>
      </c>
      <c r="F65" s="8">
        <v>1.87</v>
      </c>
      <c r="G65" s="12">
        <v>24</v>
      </c>
      <c r="H65" s="8">
        <v>0.86</v>
      </c>
      <c r="I65" s="12">
        <v>0</v>
      </c>
    </row>
    <row r="66" spans="2:9" ht="15" customHeight="1" x14ac:dyDescent="0.2">
      <c r="B66" t="s">
        <v>198</v>
      </c>
      <c r="C66" s="12">
        <v>57</v>
      </c>
      <c r="D66" s="8">
        <v>1.22</v>
      </c>
      <c r="E66" s="12">
        <v>27</v>
      </c>
      <c r="F66" s="8">
        <v>1.44</v>
      </c>
      <c r="G66" s="12">
        <v>30</v>
      </c>
      <c r="H66" s="8">
        <v>1.08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18F2-31AC-41FF-B7C5-7BB15503937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2</v>
      </c>
      <c r="D5" s="8">
        <v>0.06</v>
      </c>
      <c r="E5" s="12">
        <v>0</v>
      </c>
      <c r="F5" s="8">
        <v>0</v>
      </c>
      <c r="G5" s="12">
        <v>2</v>
      </c>
      <c r="H5" s="8">
        <v>0.1</v>
      </c>
      <c r="I5" s="12">
        <v>0</v>
      </c>
    </row>
    <row r="6" spans="2:9" ht="15" customHeight="1" x14ac:dyDescent="0.2">
      <c r="B6" t="s">
        <v>72</v>
      </c>
      <c r="C6" s="12">
        <v>422</v>
      </c>
      <c r="D6" s="8">
        <v>13.53</v>
      </c>
      <c r="E6" s="12">
        <v>52</v>
      </c>
      <c r="F6" s="8">
        <v>4.9800000000000004</v>
      </c>
      <c r="G6" s="12">
        <v>370</v>
      </c>
      <c r="H6" s="8">
        <v>17.88</v>
      </c>
      <c r="I6" s="12">
        <v>0</v>
      </c>
    </row>
    <row r="7" spans="2:9" ht="15" customHeight="1" x14ac:dyDescent="0.2">
      <c r="B7" t="s">
        <v>73</v>
      </c>
      <c r="C7" s="12">
        <v>623</v>
      </c>
      <c r="D7" s="8">
        <v>19.97</v>
      </c>
      <c r="E7" s="12">
        <v>116</v>
      </c>
      <c r="F7" s="8">
        <v>11.11</v>
      </c>
      <c r="G7" s="12">
        <v>507</v>
      </c>
      <c r="H7" s="8">
        <v>24.5</v>
      </c>
      <c r="I7" s="12">
        <v>0</v>
      </c>
    </row>
    <row r="8" spans="2:9" ht="15" customHeight="1" x14ac:dyDescent="0.2">
      <c r="B8" t="s">
        <v>74</v>
      </c>
      <c r="C8" s="12">
        <v>7</v>
      </c>
      <c r="D8" s="8">
        <v>0.22</v>
      </c>
      <c r="E8" s="12">
        <v>0</v>
      </c>
      <c r="F8" s="8">
        <v>0</v>
      </c>
      <c r="G8" s="12">
        <v>7</v>
      </c>
      <c r="H8" s="8">
        <v>0.34</v>
      </c>
      <c r="I8" s="12">
        <v>0</v>
      </c>
    </row>
    <row r="9" spans="2:9" ht="15" customHeight="1" x14ac:dyDescent="0.2">
      <c r="B9" t="s">
        <v>75</v>
      </c>
      <c r="C9" s="12">
        <v>17</v>
      </c>
      <c r="D9" s="8">
        <v>0.54</v>
      </c>
      <c r="E9" s="12">
        <v>0</v>
      </c>
      <c r="F9" s="8">
        <v>0</v>
      </c>
      <c r="G9" s="12">
        <v>17</v>
      </c>
      <c r="H9" s="8">
        <v>0.82</v>
      </c>
      <c r="I9" s="12">
        <v>0</v>
      </c>
    </row>
    <row r="10" spans="2:9" ht="15" customHeight="1" x14ac:dyDescent="0.2">
      <c r="B10" t="s">
        <v>76</v>
      </c>
      <c r="C10" s="12">
        <v>126</v>
      </c>
      <c r="D10" s="8">
        <v>4.04</v>
      </c>
      <c r="E10" s="12">
        <v>3</v>
      </c>
      <c r="F10" s="8">
        <v>0.28999999999999998</v>
      </c>
      <c r="G10" s="12">
        <v>123</v>
      </c>
      <c r="H10" s="8">
        <v>5.94</v>
      </c>
      <c r="I10" s="12">
        <v>0</v>
      </c>
    </row>
    <row r="11" spans="2:9" ht="15" customHeight="1" x14ac:dyDescent="0.2">
      <c r="B11" t="s">
        <v>77</v>
      </c>
      <c r="C11" s="12">
        <v>627</v>
      </c>
      <c r="D11" s="8">
        <v>20.100000000000001</v>
      </c>
      <c r="E11" s="12">
        <v>168</v>
      </c>
      <c r="F11" s="8">
        <v>16.09</v>
      </c>
      <c r="G11" s="12">
        <v>459</v>
      </c>
      <c r="H11" s="8">
        <v>22.18</v>
      </c>
      <c r="I11" s="12">
        <v>0</v>
      </c>
    </row>
    <row r="12" spans="2:9" ht="15" customHeight="1" x14ac:dyDescent="0.2">
      <c r="B12" t="s">
        <v>78</v>
      </c>
      <c r="C12" s="12">
        <v>17</v>
      </c>
      <c r="D12" s="8">
        <v>0.54</v>
      </c>
      <c r="E12" s="12">
        <v>3</v>
      </c>
      <c r="F12" s="8">
        <v>0.28999999999999998</v>
      </c>
      <c r="G12" s="12">
        <v>14</v>
      </c>
      <c r="H12" s="8">
        <v>0.68</v>
      </c>
      <c r="I12" s="12">
        <v>0</v>
      </c>
    </row>
    <row r="13" spans="2:9" ht="15" customHeight="1" x14ac:dyDescent="0.2">
      <c r="B13" t="s">
        <v>79</v>
      </c>
      <c r="C13" s="12">
        <v>186</v>
      </c>
      <c r="D13" s="8">
        <v>5.96</v>
      </c>
      <c r="E13" s="12">
        <v>17</v>
      </c>
      <c r="F13" s="8">
        <v>1.63</v>
      </c>
      <c r="G13" s="12">
        <v>167</v>
      </c>
      <c r="H13" s="8">
        <v>8.07</v>
      </c>
      <c r="I13" s="12">
        <v>1</v>
      </c>
    </row>
    <row r="14" spans="2:9" ht="15" customHeight="1" x14ac:dyDescent="0.2">
      <c r="B14" t="s">
        <v>80</v>
      </c>
      <c r="C14" s="12">
        <v>94</v>
      </c>
      <c r="D14" s="8">
        <v>3.01</v>
      </c>
      <c r="E14" s="12">
        <v>34</v>
      </c>
      <c r="F14" s="8">
        <v>3.26</v>
      </c>
      <c r="G14" s="12">
        <v>59</v>
      </c>
      <c r="H14" s="8">
        <v>2.85</v>
      </c>
      <c r="I14" s="12">
        <v>0</v>
      </c>
    </row>
    <row r="15" spans="2:9" ht="15" customHeight="1" x14ac:dyDescent="0.2">
      <c r="B15" t="s">
        <v>81</v>
      </c>
      <c r="C15" s="12">
        <v>361</v>
      </c>
      <c r="D15" s="8">
        <v>11.57</v>
      </c>
      <c r="E15" s="12">
        <v>287</v>
      </c>
      <c r="F15" s="8">
        <v>27.49</v>
      </c>
      <c r="G15" s="12">
        <v>73</v>
      </c>
      <c r="H15" s="8">
        <v>3.53</v>
      </c>
      <c r="I15" s="12">
        <v>0</v>
      </c>
    </row>
    <row r="16" spans="2:9" ht="15" customHeight="1" x14ac:dyDescent="0.2">
      <c r="B16" t="s">
        <v>82</v>
      </c>
      <c r="C16" s="12">
        <v>303</v>
      </c>
      <c r="D16" s="8">
        <v>9.7100000000000009</v>
      </c>
      <c r="E16" s="12">
        <v>197</v>
      </c>
      <c r="F16" s="8">
        <v>18.87</v>
      </c>
      <c r="G16" s="12">
        <v>105</v>
      </c>
      <c r="H16" s="8">
        <v>5.07</v>
      </c>
      <c r="I16" s="12">
        <v>0</v>
      </c>
    </row>
    <row r="17" spans="2:9" ht="15" customHeight="1" x14ac:dyDescent="0.2">
      <c r="B17" t="s">
        <v>83</v>
      </c>
      <c r="C17" s="12">
        <v>78</v>
      </c>
      <c r="D17" s="8">
        <v>2.5</v>
      </c>
      <c r="E17" s="12">
        <v>51</v>
      </c>
      <c r="F17" s="8">
        <v>4.8899999999999997</v>
      </c>
      <c r="G17" s="12">
        <v>26</v>
      </c>
      <c r="H17" s="8">
        <v>1.26</v>
      </c>
      <c r="I17" s="12">
        <v>0</v>
      </c>
    </row>
    <row r="18" spans="2:9" ht="15" customHeight="1" x14ac:dyDescent="0.2">
      <c r="B18" t="s">
        <v>84</v>
      </c>
      <c r="C18" s="12">
        <v>121</v>
      </c>
      <c r="D18" s="8">
        <v>3.88</v>
      </c>
      <c r="E18" s="12">
        <v>80</v>
      </c>
      <c r="F18" s="8">
        <v>7.66</v>
      </c>
      <c r="G18" s="12">
        <v>41</v>
      </c>
      <c r="H18" s="8">
        <v>1.98</v>
      </c>
      <c r="I18" s="12">
        <v>0</v>
      </c>
    </row>
    <row r="19" spans="2:9" ht="15" customHeight="1" x14ac:dyDescent="0.2">
      <c r="B19" t="s">
        <v>85</v>
      </c>
      <c r="C19" s="12">
        <v>136</v>
      </c>
      <c r="D19" s="8">
        <v>4.3600000000000003</v>
      </c>
      <c r="E19" s="12">
        <v>36</v>
      </c>
      <c r="F19" s="8">
        <v>3.45</v>
      </c>
      <c r="G19" s="12">
        <v>99</v>
      </c>
      <c r="H19" s="8">
        <v>4.78</v>
      </c>
      <c r="I19" s="12">
        <v>0</v>
      </c>
    </row>
    <row r="20" spans="2:9" ht="15" customHeight="1" x14ac:dyDescent="0.2">
      <c r="B20" s="9" t="s">
        <v>277</v>
      </c>
      <c r="C20" s="12">
        <f>SUM(LTBL_23111[総数／事業所数])</f>
        <v>3120</v>
      </c>
      <c r="E20" s="12">
        <f>SUBTOTAL(109,LTBL_23111[個人／事業所数])</f>
        <v>1044</v>
      </c>
      <c r="G20" s="12">
        <f>SUBTOTAL(109,LTBL_23111[法人／事業所数])</f>
        <v>2069</v>
      </c>
      <c r="I20" s="12">
        <f>SUBTOTAL(109,LTBL_23111[法人以外の団体／事業所数])</f>
        <v>1</v>
      </c>
    </row>
    <row r="21" spans="2:9" ht="15" customHeight="1" x14ac:dyDescent="0.2">
      <c r="E21" s="11">
        <f>LTBL_23111[[#Totals],[個人／事業所数]]/LTBL_23111[[#Totals],[総数／事業所数]]</f>
        <v>0.33461538461538459</v>
      </c>
      <c r="G21" s="11">
        <f>LTBL_23111[[#Totals],[法人／事業所数]]/LTBL_23111[[#Totals],[総数／事業所数]]</f>
        <v>0.66314102564102562</v>
      </c>
      <c r="I21" s="11">
        <f>LTBL_23111[[#Totals],[法人以外の団体／事業所数]]/LTBL_23111[[#Totals],[総数／事業所数]]</f>
        <v>3.2051282051282051E-4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330</v>
      </c>
      <c r="D24" s="8">
        <v>10.58</v>
      </c>
      <c r="E24" s="12">
        <v>279</v>
      </c>
      <c r="F24" s="8">
        <v>26.72</v>
      </c>
      <c r="G24" s="12">
        <v>51</v>
      </c>
      <c r="H24" s="8">
        <v>2.46</v>
      </c>
      <c r="I24" s="12">
        <v>0</v>
      </c>
    </row>
    <row r="25" spans="2:9" ht="15" customHeight="1" x14ac:dyDescent="0.2">
      <c r="B25" t="s">
        <v>111</v>
      </c>
      <c r="C25" s="12">
        <v>227</v>
      </c>
      <c r="D25" s="8">
        <v>7.28</v>
      </c>
      <c r="E25" s="12">
        <v>182</v>
      </c>
      <c r="F25" s="8">
        <v>17.43</v>
      </c>
      <c r="G25" s="12">
        <v>45</v>
      </c>
      <c r="H25" s="8">
        <v>2.17</v>
      </c>
      <c r="I25" s="12">
        <v>0</v>
      </c>
    </row>
    <row r="26" spans="2:9" ht="15" customHeight="1" x14ac:dyDescent="0.2">
      <c r="B26" t="s">
        <v>96</v>
      </c>
      <c r="C26" s="12">
        <v>163</v>
      </c>
      <c r="D26" s="8">
        <v>5.22</v>
      </c>
      <c r="E26" s="12">
        <v>18</v>
      </c>
      <c r="F26" s="8">
        <v>1.72</v>
      </c>
      <c r="G26" s="12">
        <v>145</v>
      </c>
      <c r="H26" s="8">
        <v>7.01</v>
      </c>
      <c r="I26" s="12">
        <v>0</v>
      </c>
    </row>
    <row r="27" spans="2:9" ht="15" customHeight="1" x14ac:dyDescent="0.2">
      <c r="B27" t="s">
        <v>97</v>
      </c>
      <c r="C27" s="12">
        <v>163</v>
      </c>
      <c r="D27" s="8">
        <v>5.22</v>
      </c>
      <c r="E27" s="12">
        <v>23</v>
      </c>
      <c r="F27" s="8">
        <v>2.2000000000000002</v>
      </c>
      <c r="G27" s="12">
        <v>140</v>
      </c>
      <c r="H27" s="8">
        <v>6.77</v>
      </c>
      <c r="I27" s="12">
        <v>0</v>
      </c>
    </row>
    <row r="28" spans="2:9" ht="15" customHeight="1" x14ac:dyDescent="0.2">
      <c r="B28" t="s">
        <v>107</v>
      </c>
      <c r="C28" s="12">
        <v>154</v>
      </c>
      <c r="D28" s="8">
        <v>4.9400000000000004</v>
      </c>
      <c r="E28" s="12">
        <v>11</v>
      </c>
      <c r="F28" s="8">
        <v>1.05</v>
      </c>
      <c r="G28" s="12">
        <v>141</v>
      </c>
      <c r="H28" s="8">
        <v>6.81</v>
      </c>
      <c r="I28" s="12">
        <v>1</v>
      </c>
    </row>
    <row r="29" spans="2:9" ht="15" customHeight="1" x14ac:dyDescent="0.2">
      <c r="B29" t="s">
        <v>95</v>
      </c>
      <c r="C29" s="12">
        <v>144</v>
      </c>
      <c r="D29" s="8">
        <v>4.62</v>
      </c>
      <c r="E29" s="12">
        <v>23</v>
      </c>
      <c r="F29" s="8">
        <v>2.2000000000000002</v>
      </c>
      <c r="G29" s="12">
        <v>121</v>
      </c>
      <c r="H29" s="8">
        <v>5.85</v>
      </c>
      <c r="I29" s="12">
        <v>0</v>
      </c>
    </row>
    <row r="30" spans="2:9" ht="15" customHeight="1" x14ac:dyDescent="0.2">
      <c r="B30" t="s">
        <v>105</v>
      </c>
      <c r="C30" s="12">
        <v>133</v>
      </c>
      <c r="D30" s="8">
        <v>4.26</v>
      </c>
      <c r="E30" s="12">
        <v>57</v>
      </c>
      <c r="F30" s="8">
        <v>5.46</v>
      </c>
      <c r="G30" s="12">
        <v>76</v>
      </c>
      <c r="H30" s="8">
        <v>3.67</v>
      </c>
      <c r="I30" s="12">
        <v>0</v>
      </c>
    </row>
    <row r="31" spans="2:9" ht="15" customHeight="1" x14ac:dyDescent="0.2">
      <c r="B31" t="s">
        <v>94</v>
      </c>
      <c r="C31" s="12">
        <v>115</v>
      </c>
      <c r="D31" s="8">
        <v>3.69</v>
      </c>
      <c r="E31" s="12">
        <v>11</v>
      </c>
      <c r="F31" s="8">
        <v>1.05</v>
      </c>
      <c r="G31" s="12">
        <v>104</v>
      </c>
      <c r="H31" s="8">
        <v>5.03</v>
      </c>
      <c r="I31" s="12">
        <v>0</v>
      </c>
    </row>
    <row r="32" spans="2:9" ht="15" customHeight="1" x14ac:dyDescent="0.2">
      <c r="B32" t="s">
        <v>98</v>
      </c>
      <c r="C32" s="12">
        <v>98</v>
      </c>
      <c r="D32" s="8">
        <v>3.14</v>
      </c>
      <c r="E32" s="12">
        <v>19</v>
      </c>
      <c r="F32" s="8">
        <v>1.82</v>
      </c>
      <c r="G32" s="12">
        <v>79</v>
      </c>
      <c r="H32" s="8">
        <v>3.82</v>
      </c>
      <c r="I32" s="12">
        <v>0</v>
      </c>
    </row>
    <row r="33" spans="2:9" ht="15" customHeight="1" x14ac:dyDescent="0.2">
      <c r="B33" t="s">
        <v>102</v>
      </c>
      <c r="C33" s="12">
        <v>94</v>
      </c>
      <c r="D33" s="8">
        <v>3.01</v>
      </c>
      <c r="E33" s="12">
        <v>18</v>
      </c>
      <c r="F33" s="8">
        <v>1.72</v>
      </c>
      <c r="G33" s="12">
        <v>76</v>
      </c>
      <c r="H33" s="8">
        <v>3.67</v>
      </c>
      <c r="I33" s="12">
        <v>0</v>
      </c>
    </row>
    <row r="34" spans="2:9" ht="15" customHeight="1" x14ac:dyDescent="0.2">
      <c r="B34" t="s">
        <v>99</v>
      </c>
      <c r="C34" s="12">
        <v>93</v>
      </c>
      <c r="D34" s="8">
        <v>2.98</v>
      </c>
      <c r="E34" s="12">
        <v>6</v>
      </c>
      <c r="F34" s="8">
        <v>0.56999999999999995</v>
      </c>
      <c r="G34" s="12">
        <v>87</v>
      </c>
      <c r="H34" s="8">
        <v>4.2</v>
      </c>
      <c r="I34" s="12">
        <v>0</v>
      </c>
    </row>
    <row r="35" spans="2:9" ht="15" customHeight="1" x14ac:dyDescent="0.2">
      <c r="B35" t="s">
        <v>104</v>
      </c>
      <c r="C35" s="12">
        <v>86</v>
      </c>
      <c r="D35" s="8">
        <v>2.76</v>
      </c>
      <c r="E35" s="12">
        <v>29</v>
      </c>
      <c r="F35" s="8">
        <v>2.78</v>
      </c>
      <c r="G35" s="12">
        <v>57</v>
      </c>
      <c r="H35" s="8">
        <v>2.75</v>
      </c>
      <c r="I35" s="12">
        <v>0</v>
      </c>
    </row>
    <row r="36" spans="2:9" ht="15" customHeight="1" x14ac:dyDescent="0.2">
      <c r="B36" t="s">
        <v>113</v>
      </c>
      <c r="C36" s="12">
        <v>86</v>
      </c>
      <c r="D36" s="8">
        <v>2.76</v>
      </c>
      <c r="E36" s="12">
        <v>80</v>
      </c>
      <c r="F36" s="8">
        <v>7.66</v>
      </c>
      <c r="G36" s="12">
        <v>6</v>
      </c>
      <c r="H36" s="8">
        <v>0.28999999999999998</v>
      </c>
      <c r="I36" s="12">
        <v>0</v>
      </c>
    </row>
    <row r="37" spans="2:9" ht="15" customHeight="1" x14ac:dyDescent="0.2">
      <c r="B37" t="s">
        <v>112</v>
      </c>
      <c r="C37" s="12">
        <v>78</v>
      </c>
      <c r="D37" s="8">
        <v>2.5</v>
      </c>
      <c r="E37" s="12">
        <v>51</v>
      </c>
      <c r="F37" s="8">
        <v>4.8899999999999997</v>
      </c>
      <c r="G37" s="12">
        <v>26</v>
      </c>
      <c r="H37" s="8">
        <v>1.26</v>
      </c>
      <c r="I37" s="12">
        <v>0</v>
      </c>
    </row>
    <row r="38" spans="2:9" ht="15" customHeight="1" x14ac:dyDescent="0.2">
      <c r="B38" t="s">
        <v>103</v>
      </c>
      <c r="C38" s="12">
        <v>73</v>
      </c>
      <c r="D38" s="8">
        <v>2.34</v>
      </c>
      <c r="E38" s="12">
        <v>43</v>
      </c>
      <c r="F38" s="8">
        <v>4.12</v>
      </c>
      <c r="G38" s="12">
        <v>30</v>
      </c>
      <c r="H38" s="8">
        <v>1.45</v>
      </c>
      <c r="I38" s="12">
        <v>0</v>
      </c>
    </row>
    <row r="39" spans="2:9" ht="15" customHeight="1" x14ac:dyDescent="0.2">
      <c r="B39" t="s">
        <v>100</v>
      </c>
      <c r="C39" s="12">
        <v>57</v>
      </c>
      <c r="D39" s="8">
        <v>1.83</v>
      </c>
      <c r="E39" s="12">
        <v>6</v>
      </c>
      <c r="F39" s="8">
        <v>0.56999999999999995</v>
      </c>
      <c r="G39" s="12">
        <v>51</v>
      </c>
      <c r="H39" s="8">
        <v>2.46</v>
      </c>
      <c r="I39" s="12">
        <v>0</v>
      </c>
    </row>
    <row r="40" spans="2:9" ht="15" customHeight="1" x14ac:dyDescent="0.2">
      <c r="B40" t="s">
        <v>115</v>
      </c>
      <c r="C40" s="12">
        <v>57</v>
      </c>
      <c r="D40" s="8">
        <v>1.83</v>
      </c>
      <c r="E40" s="12">
        <v>10</v>
      </c>
      <c r="F40" s="8">
        <v>0.96</v>
      </c>
      <c r="G40" s="12">
        <v>47</v>
      </c>
      <c r="H40" s="8">
        <v>2.27</v>
      </c>
      <c r="I40" s="12">
        <v>0</v>
      </c>
    </row>
    <row r="41" spans="2:9" ht="15" customHeight="1" x14ac:dyDescent="0.2">
      <c r="B41" t="s">
        <v>123</v>
      </c>
      <c r="C41" s="12">
        <v>52</v>
      </c>
      <c r="D41" s="8">
        <v>1.67</v>
      </c>
      <c r="E41" s="12">
        <v>1</v>
      </c>
      <c r="F41" s="8">
        <v>0.1</v>
      </c>
      <c r="G41" s="12">
        <v>51</v>
      </c>
      <c r="H41" s="8">
        <v>2.46</v>
      </c>
      <c r="I41" s="12">
        <v>0</v>
      </c>
    </row>
    <row r="42" spans="2:9" ht="15" customHeight="1" x14ac:dyDescent="0.2">
      <c r="B42" t="s">
        <v>122</v>
      </c>
      <c r="C42" s="12">
        <v>52</v>
      </c>
      <c r="D42" s="8">
        <v>1.67</v>
      </c>
      <c r="E42" s="12">
        <v>26</v>
      </c>
      <c r="F42" s="8">
        <v>2.4900000000000002</v>
      </c>
      <c r="G42" s="12">
        <v>26</v>
      </c>
      <c r="H42" s="8">
        <v>1.26</v>
      </c>
      <c r="I42" s="12">
        <v>0</v>
      </c>
    </row>
    <row r="43" spans="2:9" ht="15" customHeight="1" x14ac:dyDescent="0.2">
      <c r="B43" t="s">
        <v>121</v>
      </c>
      <c r="C43" s="12">
        <v>51</v>
      </c>
      <c r="D43" s="8">
        <v>1.63</v>
      </c>
      <c r="E43" s="12">
        <v>15</v>
      </c>
      <c r="F43" s="8">
        <v>1.44</v>
      </c>
      <c r="G43" s="12">
        <v>36</v>
      </c>
      <c r="H43" s="8">
        <v>1.74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165</v>
      </c>
      <c r="C47" s="12">
        <v>114</v>
      </c>
      <c r="D47" s="8">
        <v>3.65</v>
      </c>
      <c r="E47" s="12">
        <v>101</v>
      </c>
      <c r="F47" s="8">
        <v>9.67</v>
      </c>
      <c r="G47" s="12">
        <v>13</v>
      </c>
      <c r="H47" s="8">
        <v>0.63</v>
      </c>
      <c r="I47" s="12">
        <v>0</v>
      </c>
    </row>
    <row r="48" spans="2:9" ht="15" customHeight="1" x14ac:dyDescent="0.2">
      <c r="B48" t="s">
        <v>168</v>
      </c>
      <c r="C48" s="12">
        <v>102</v>
      </c>
      <c r="D48" s="8">
        <v>3.27</v>
      </c>
      <c r="E48" s="12">
        <v>89</v>
      </c>
      <c r="F48" s="8">
        <v>8.52</v>
      </c>
      <c r="G48" s="12">
        <v>13</v>
      </c>
      <c r="H48" s="8">
        <v>0.63</v>
      </c>
      <c r="I48" s="12">
        <v>0</v>
      </c>
    </row>
    <row r="49" spans="2:9" ht="15" customHeight="1" x14ac:dyDescent="0.2">
      <c r="B49" t="s">
        <v>196</v>
      </c>
      <c r="C49" s="12">
        <v>83</v>
      </c>
      <c r="D49" s="8">
        <v>2.66</v>
      </c>
      <c r="E49" s="12">
        <v>12</v>
      </c>
      <c r="F49" s="8">
        <v>1.1499999999999999</v>
      </c>
      <c r="G49" s="12">
        <v>71</v>
      </c>
      <c r="H49" s="8">
        <v>3.43</v>
      </c>
      <c r="I49" s="12">
        <v>0</v>
      </c>
    </row>
    <row r="50" spans="2:9" ht="15" customHeight="1" x14ac:dyDescent="0.2">
      <c r="B50" t="s">
        <v>161</v>
      </c>
      <c r="C50" s="12">
        <v>78</v>
      </c>
      <c r="D50" s="8">
        <v>2.5</v>
      </c>
      <c r="E50" s="12">
        <v>7</v>
      </c>
      <c r="F50" s="8">
        <v>0.67</v>
      </c>
      <c r="G50" s="12">
        <v>71</v>
      </c>
      <c r="H50" s="8">
        <v>3.43</v>
      </c>
      <c r="I50" s="12">
        <v>0</v>
      </c>
    </row>
    <row r="51" spans="2:9" ht="15" customHeight="1" x14ac:dyDescent="0.2">
      <c r="B51" t="s">
        <v>164</v>
      </c>
      <c r="C51" s="12">
        <v>76</v>
      </c>
      <c r="D51" s="8">
        <v>2.44</v>
      </c>
      <c r="E51" s="12">
        <v>73</v>
      </c>
      <c r="F51" s="8">
        <v>6.99</v>
      </c>
      <c r="G51" s="12">
        <v>3</v>
      </c>
      <c r="H51" s="8">
        <v>0.14000000000000001</v>
      </c>
      <c r="I51" s="12">
        <v>0</v>
      </c>
    </row>
    <row r="52" spans="2:9" ht="15" customHeight="1" x14ac:dyDescent="0.2">
      <c r="B52" t="s">
        <v>167</v>
      </c>
      <c r="C52" s="12">
        <v>74</v>
      </c>
      <c r="D52" s="8">
        <v>2.37</v>
      </c>
      <c r="E52" s="12">
        <v>66</v>
      </c>
      <c r="F52" s="8">
        <v>6.32</v>
      </c>
      <c r="G52" s="12">
        <v>8</v>
      </c>
      <c r="H52" s="8">
        <v>0.39</v>
      </c>
      <c r="I52" s="12">
        <v>0</v>
      </c>
    </row>
    <row r="53" spans="2:9" ht="15" customHeight="1" x14ac:dyDescent="0.2">
      <c r="B53" t="s">
        <v>163</v>
      </c>
      <c r="C53" s="12">
        <v>64</v>
      </c>
      <c r="D53" s="8">
        <v>2.0499999999999998</v>
      </c>
      <c r="E53" s="12">
        <v>46</v>
      </c>
      <c r="F53" s="8">
        <v>4.41</v>
      </c>
      <c r="G53" s="12">
        <v>18</v>
      </c>
      <c r="H53" s="8">
        <v>0.87</v>
      </c>
      <c r="I53" s="12">
        <v>0</v>
      </c>
    </row>
    <row r="54" spans="2:9" ht="15" customHeight="1" x14ac:dyDescent="0.2">
      <c r="B54" t="s">
        <v>171</v>
      </c>
      <c r="C54" s="12">
        <v>62</v>
      </c>
      <c r="D54" s="8">
        <v>1.99</v>
      </c>
      <c r="E54" s="12">
        <v>58</v>
      </c>
      <c r="F54" s="8">
        <v>5.56</v>
      </c>
      <c r="G54" s="12">
        <v>4</v>
      </c>
      <c r="H54" s="8">
        <v>0.19</v>
      </c>
      <c r="I54" s="12">
        <v>0</v>
      </c>
    </row>
    <row r="55" spans="2:9" ht="15" customHeight="1" x14ac:dyDescent="0.2">
      <c r="B55" t="s">
        <v>154</v>
      </c>
      <c r="C55" s="12">
        <v>57</v>
      </c>
      <c r="D55" s="8">
        <v>1.83</v>
      </c>
      <c r="E55" s="12">
        <v>8</v>
      </c>
      <c r="F55" s="8">
        <v>0.77</v>
      </c>
      <c r="G55" s="12">
        <v>49</v>
      </c>
      <c r="H55" s="8">
        <v>2.37</v>
      </c>
      <c r="I55" s="12">
        <v>0</v>
      </c>
    </row>
    <row r="56" spans="2:9" ht="15" customHeight="1" x14ac:dyDescent="0.2">
      <c r="B56" t="s">
        <v>156</v>
      </c>
      <c r="C56" s="12">
        <v>56</v>
      </c>
      <c r="D56" s="8">
        <v>1.79</v>
      </c>
      <c r="E56" s="12">
        <v>15</v>
      </c>
      <c r="F56" s="8">
        <v>1.44</v>
      </c>
      <c r="G56" s="12">
        <v>41</v>
      </c>
      <c r="H56" s="8">
        <v>1.98</v>
      </c>
      <c r="I56" s="12">
        <v>0</v>
      </c>
    </row>
    <row r="57" spans="2:9" ht="15" customHeight="1" x14ac:dyDescent="0.2">
      <c r="B57" t="s">
        <v>155</v>
      </c>
      <c r="C57" s="12">
        <v>54</v>
      </c>
      <c r="D57" s="8">
        <v>1.73</v>
      </c>
      <c r="E57" s="12">
        <v>7</v>
      </c>
      <c r="F57" s="8">
        <v>0.67</v>
      </c>
      <c r="G57" s="12">
        <v>47</v>
      </c>
      <c r="H57" s="8">
        <v>2.27</v>
      </c>
      <c r="I57" s="12">
        <v>0</v>
      </c>
    </row>
    <row r="58" spans="2:9" ht="15" customHeight="1" x14ac:dyDescent="0.2">
      <c r="B58" t="s">
        <v>170</v>
      </c>
      <c r="C58" s="12">
        <v>52</v>
      </c>
      <c r="D58" s="8">
        <v>1.67</v>
      </c>
      <c r="E58" s="12">
        <v>38</v>
      </c>
      <c r="F58" s="8">
        <v>3.64</v>
      </c>
      <c r="G58" s="12">
        <v>14</v>
      </c>
      <c r="H58" s="8">
        <v>0.68</v>
      </c>
      <c r="I58" s="12">
        <v>0</v>
      </c>
    </row>
    <row r="59" spans="2:9" ht="15" customHeight="1" x14ac:dyDescent="0.2">
      <c r="B59" t="s">
        <v>188</v>
      </c>
      <c r="C59" s="12">
        <v>52</v>
      </c>
      <c r="D59" s="8">
        <v>1.67</v>
      </c>
      <c r="E59" s="12">
        <v>26</v>
      </c>
      <c r="F59" s="8">
        <v>2.4900000000000002</v>
      </c>
      <c r="G59" s="12">
        <v>26</v>
      </c>
      <c r="H59" s="8">
        <v>1.26</v>
      </c>
      <c r="I59" s="12">
        <v>0</v>
      </c>
    </row>
    <row r="60" spans="2:9" ht="15" customHeight="1" x14ac:dyDescent="0.2">
      <c r="B60" t="s">
        <v>197</v>
      </c>
      <c r="C60" s="12">
        <v>47</v>
      </c>
      <c r="D60" s="8">
        <v>1.51</v>
      </c>
      <c r="E60" s="12">
        <v>9</v>
      </c>
      <c r="F60" s="8">
        <v>0.86</v>
      </c>
      <c r="G60" s="12">
        <v>38</v>
      </c>
      <c r="H60" s="8">
        <v>1.84</v>
      </c>
      <c r="I60" s="12">
        <v>0</v>
      </c>
    </row>
    <row r="61" spans="2:9" ht="15" customHeight="1" x14ac:dyDescent="0.2">
      <c r="B61" t="s">
        <v>160</v>
      </c>
      <c r="C61" s="12">
        <v>47</v>
      </c>
      <c r="D61" s="8">
        <v>1.51</v>
      </c>
      <c r="E61" s="12">
        <v>2</v>
      </c>
      <c r="F61" s="8">
        <v>0.19</v>
      </c>
      <c r="G61" s="12">
        <v>45</v>
      </c>
      <c r="H61" s="8">
        <v>2.17</v>
      </c>
      <c r="I61" s="12">
        <v>0</v>
      </c>
    </row>
    <row r="62" spans="2:9" ht="15" customHeight="1" x14ac:dyDescent="0.2">
      <c r="B62" t="s">
        <v>158</v>
      </c>
      <c r="C62" s="12">
        <v>42</v>
      </c>
      <c r="D62" s="8">
        <v>1.35</v>
      </c>
      <c r="E62" s="12">
        <v>24</v>
      </c>
      <c r="F62" s="8">
        <v>2.2999999999999998</v>
      </c>
      <c r="G62" s="12">
        <v>18</v>
      </c>
      <c r="H62" s="8">
        <v>0.87</v>
      </c>
      <c r="I62" s="12">
        <v>0</v>
      </c>
    </row>
    <row r="63" spans="2:9" ht="15" customHeight="1" x14ac:dyDescent="0.2">
      <c r="B63" t="s">
        <v>152</v>
      </c>
      <c r="C63" s="12">
        <v>40</v>
      </c>
      <c r="D63" s="8">
        <v>1.28</v>
      </c>
      <c r="E63" s="12">
        <v>1</v>
      </c>
      <c r="F63" s="8">
        <v>0.1</v>
      </c>
      <c r="G63" s="12">
        <v>39</v>
      </c>
      <c r="H63" s="8">
        <v>1.88</v>
      </c>
      <c r="I63" s="12">
        <v>0</v>
      </c>
    </row>
    <row r="64" spans="2:9" ht="15" customHeight="1" x14ac:dyDescent="0.2">
      <c r="B64" t="s">
        <v>200</v>
      </c>
      <c r="C64" s="12">
        <v>39</v>
      </c>
      <c r="D64" s="8">
        <v>1.25</v>
      </c>
      <c r="E64" s="12">
        <v>3</v>
      </c>
      <c r="F64" s="8">
        <v>0.28999999999999998</v>
      </c>
      <c r="G64" s="12">
        <v>36</v>
      </c>
      <c r="H64" s="8">
        <v>1.74</v>
      </c>
      <c r="I64" s="12">
        <v>0</v>
      </c>
    </row>
    <row r="65" spans="2:9" ht="15" customHeight="1" x14ac:dyDescent="0.2">
      <c r="B65" t="s">
        <v>201</v>
      </c>
      <c r="C65" s="12">
        <v>39</v>
      </c>
      <c r="D65" s="8">
        <v>1.25</v>
      </c>
      <c r="E65" s="12">
        <v>8</v>
      </c>
      <c r="F65" s="8">
        <v>0.77</v>
      </c>
      <c r="G65" s="12">
        <v>31</v>
      </c>
      <c r="H65" s="8">
        <v>1.5</v>
      </c>
      <c r="I65" s="12">
        <v>0</v>
      </c>
    </row>
    <row r="66" spans="2:9" ht="15" customHeight="1" x14ac:dyDescent="0.2">
      <c r="B66" t="s">
        <v>199</v>
      </c>
      <c r="C66" s="12">
        <v>38</v>
      </c>
      <c r="D66" s="8">
        <v>1.22</v>
      </c>
      <c r="E66" s="12">
        <v>3</v>
      </c>
      <c r="F66" s="8">
        <v>0.28999999999999998</v>
      </c>
      <c r="G66" s="12">
        <v>35</v>
      </c>
      <c r="H66" s="8">
        <v>1.69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F22C-0D9B-4F7C-8A8A-6A8D711B428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406</v>
      </c>
      <c r="D6" s="8">
        <v>12.91</v>
      </c>
      <c r="E6" s="12">
        <v>43</v>
      </c>
      <c r="F6" s="8">
        <v>3.48</v>
      </c>
      <c r="G6" s="12">
        <v>363</v>
      </c>
      <c r="H6" s="8">
        <v>19.059999999999999</v>
      </c>
      <c r="I6" s="12">
        <v>0</v>
      </c>
    </row>
    <row r="7" spans="2:9" ht="15" customHeight="1" x14ac:dyDescent="0.2">
      <c r="B7" t="s">
        <v>73</v>
      </c>
      <c r="C7" s="12">
        <v>609</v>
      </c>
      <c r="D7" s="8">
        <v>19.37</v>
      </c>
      <c r="E7" s="12">
        <v>107</v>
      </c>
      <c r="F7" s="8">
        <v>8.66</v>
      </c>
      <c r="G7" s="12">
        <v>502</v>
      </c>
      <c r="H7" s="8">
        <v>26.35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24</v>
      </c>
      <c r="D9" s="8">
        <v>0.76</v>
      </c>
      <c r="E9" s="12">
        <v>1</v>
      </c>
      <c r="F9" s="8">
        <v>0.08</v>
      </c>
      <c r="G9" s="12">
        <v>23</v>
      </c>
      <c r="H9" s="8">
        <v>1.21</v>
      </c>
      <c r="I9" s="12">
        <v>0</v>
      </c>
    </row>
    <row r="10" spans="2:9" ht="15" customHeight="1" x14ac:dyDescent="0.2">
      <c r="B10" t="s">
        <v>76</v>
      </c>
      <c r="C10" s="12">
        <v>43</v>
      </c>
      <c r="D10" s="8">
        <v>1.37</v>
      </c>
      <c r="E10" s="12">
        <v>9</v>
      </c>
      <c r="F10" s="8">
        <v>0.73</v>
      </c>
      <c r="G10" s="12">
        <v>34</v>
      </c>
      <c r="H10" s="8">
        <v>1.78</v>
      </c>
      <c r="I10" s="12">
        <v>0</v>
      </c>
    </row>
    <row r="11" spans="2:9" ht="15" customHeight="1" x14ac:dyDescent="0.2">
      <c r="B11" t="s">
        <v>77</v>
      </c>
      <c r="C11" s="12">
        <v>637</v>
      </c>
      <c r="D11" s="8">
        <v>20.260000000000002</v>
      </c>
      <c r="E11" s="12">
        <v>247</v>
      </c>
      <c r="F11" s="8">
        <v>20</v>
      </c>
      <c r="G11" s="12">
        <v>390</v>
      </c>
      <c r="H11" s="8">
        <v>20.47</v>
      </c>
      <c r="I11" s="12">
        <v>0</v>
      </c>
    </row>
    <row r="12" spans="2:9" ht="15" customHeight="1" x14ac:dyDescent="0.2">
      <c r="B12" t="s">
        <v>78</v>
      </c>
      <c r="C12" s="12">
        <v>15</v>
      </c>
      <c r="D12" s="8">
        <v>0.48</v>
      </c>
      <c r="E12" s="12">
        <v>1</v>
      </c>
      <c r="F12" s="8">
        <v>0.08</v>
      </c>
      <c r="G12" s="12">
        <v>14</v>
      </c>
      <c r="H12" s="8">
        <v>0.73</v>
      </c>
      <c r="I12" s="12">
        <v>0</v>
      </c>
    </row>
    <row r="13" spans="2:9" ht="15" customHeight="1" x14ac:dyDescent="0.2">
      <c r="B13" t="s">
        <v>79</v>
      </c>
      <c r="C13" s="12">
        <v>239</v>
      </c>
      <c r="D13" s="8">
        <v>7.6</v>
      </c>
      <c r="E13" s="12">
        <v>24</v>
      </c>
      <c r="F13" s="8">
        <v>1.94</v>
      </c>
      <c r="G13" s="12">
        <v>215</v>
      </c>
      <c r="H13" s="8">
        <v>11.29</v>
      </c>
      <c r="I13" s="12">
        <v>0</v>
      </c>
    </row>
    <row r="14" spans="2:9" ht="15" customHeight="1" x14ac:dyDescent="0.2">
      <c r="B14" t="s">
        <v>80</v>
      </c>
      <c r="C14" s="12">
        <v>117</v>
      </c>
      <c r="D14" s="8">
        <v>3.72</v>
      </c>
      <c r="E14" s="12">
        <v>55</v>
      </c>
      <c r="F14" s="8">
        <v>4.45</v>
      </c>
      <c r="G14" s="12">
        <v>61</v>
      </c>
      <c r="H14" s="8">
        <v>3.2</v>
      </c>
      <c r="I14" s="12">
        <v>1</v>
      </c>
    </row>
    <row r="15" spans="2:9" ht="15" customHeight="1" x14ac:dyDescent="0.2">
      <c r="B15" t="s">
        <v>81</v>
      </c>
      <c r="C15" s="12">
        <v>340</v>
      </c>
      <c r="D15" s="8">
        <v>10.81</v>
      </c>
      <c r="E15" s="12">
        <v>285</v>
      </c>
      <c r="F15" s="8">
        <v>23.08</v>
      </c>
      <c r="G15" s="12">
        <v>55</v>
      </c>
      <c r="H15" s="8">
        <v>2.89</v>
      </c>
      <c r="I15" s="12">
        <v>0</v>
      </c>
    </row>
    <row r="16" spans="2:9" ht="15" customHeight="1" x14ac:dyDescent="0.2">
      <c r="B16" t="s">
        <v>82</v>
      </c>
      <c r="C16" s="12">
        <v>384</v>
      </c>
      <c r="D16" s="8">
        <v>12.21</v>
      </c>
      <c r="E16" s="12">
        <v>281</v>
      </c>
      <c r="F16" s="8">
        <v>22.75</v>
      </c>
      <c r="G16" s="12">
        <v>103</v>
      </c>
      <c r="H16" s="8">
        <v>5.41</v>
      </c>
      <c r="I16" s="12">
        <v>0</v>
      </c>
    </row>
    <row r="17" spans="2:9" ht="15" customHeight="1" x14ac:dyDescent="0.2">
      <c r="B17" t="s">
        <v>83</v>
      </c>
      <c r="C17" s="12">
        <v>77</v>
      </c>
      <c r="D17" s="8">
        <v>2.4500000000000002</v>
      </c>
      <c r="E17" s="12">
        <v>57</v>
      </c>
      <c r="F17" s="8">
        <v>4.62</v>
      </c>
      <c r="G17" s="12">
        <v>19</v>
      </c>
      <c r="H17" s="8">
        <v>1</v>
      </c>
      <c r="I17" s="12">
        <v>0</v>
      </c>
    </row>
    <row r="18" spans="2:9" ht="15" customHeight="1" x14ac:dyDescent="0.2">
      <c r="B18" t="s">
        <v>84</v>
      </c>
      <c r="C18" s="12">
        <v>151</v>
      </c>
      <c r="D18" s="8">
        <v>4.8</v>
      </c>
      <c r="E18" s="12">
        <v>95</v>
      </c>
      <c r="F18" s="8">
        <v>7.69</v>
      </c>
      <c r="G18" s="12">
        <v>55</v>
      </c>
      <c r="H18" s="8">
        <v>2.89</v>
      </c>
      <c r="I18" s="12">
        <v>1</v>
      </c>
    </row>
    <row r="19" spans="2:9" ht="15" customHeight="1" x14ac:dyDescent="0.2">
      <c r="B19" t="s">
        <v>85</v>
      </c>
      <c r="C19" s="12">
        <v>102</v>
      </c>
      <c r="D19" s="8">
        <v>3.24</v>
      </c>
      <c r="E19" s="12">
        <v>30</v>
      </c>
      <c r="F19" s="8">
        <v>2.4300000000000002</v>
      </c>
      <c r="G19" s="12">
        <v>71</v>
      </c>
      <c r="H19" s="8">
        <v>3.73</v>
      </c>
      <c r="I19" s="12">
        <v>1</v>
      </c>
    </row>
    <row r="20" spans="2:9" ht="15" customHeight="1" x14ac:dyDescent="0.2">
      <c r="B20" s="9" t="s">
        <v>277</v>
      </c>
      <c r="C20" s="12">
        <f>SUM(LTBL_23112[総数／事業所数])</f>
        <v>3144</v>
      </c>
      <c r="E20" s="12">
        <f>SUBTOTAL(109,LTBL_23112[個人／事業所数])</f>
        <v>1235</v>
      </c>
      <c r="G20" s="12">
        <f>SUBTOTAL(109,LTBL_23112[法人／事業所数])</f>
        <v>1905</v>
      </c>
      <c r="I20" s="12">
        <f>SUBTOTAL(109,LTBL_23112[法人以外の団体／事業所数])</f>
        <v>3</v>
      </c>
    </row>
    <row r="21" spans="2:9" ht="15" customHeight="1" x14ac:dyDescent="0.2">
      <c r="E21" s="11">
        <f>LTBL_23112[[#Totals],[個人／事業所数]]/LTBL_23112[[#Totals],[総数／事業所数]]</f>
        <v>0.39281170483460559</v>
      </c>
      <c r="G21" s="11">
        <f>LTBL_23112[[#Totals],[法人／事業所数]]/LTBL_23112[[#Totals],[総数／事業所数]]</f>
        <v>0.60591603053435117</v>
      </c>
      <c r="I21" s="11">
        <f>LTBL_23112[[#Totals],[法人以外の団体／事業所数]]/LTBL_23112[[#Totals],[総数／事業所数]]</f>
        <v>9.5419847328244271E-4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317</v>
      </c>
      <c r="D24" s="8">
        <v>10.08</v>
      </c>
      <c r="E24" s="12">
        <v>261</v>
      </c>
      <c r="F24" s="8">
        <v>21.13</v>
      </c>
      <c r="G24" s="12">
        <v>56</v>
      </c>
      <c r="H24" s="8">
        <v>2.94</v>
      </c>
      <c r="I24" s="12">
        <v>0</v>
      </c>
    </row>
    <row r="25" spans="2:9" ht="15" customHeight="1" x14ac:dyDescent="0.2">
      <c r="B25" t="s">
        <v>110</v>
      </c>
      <c r="C25" s="12">
        <v>316</v>
      </c>
      <c r="D25" s="8">
        <v>10.050000000000001</v>
      </c>
      <c r="E25" s="12">
        <v>273</v>
      </c>
      <c r="F25" s="8">
        <v>22.11</v>
      </c>
      <c r="G25" s="12">
        <v>43</v>
      </c>
      <c r="H25" s="8">
        <v>2.2599999999999998</v>
      </c>
      <c r="I25" s="12">
        <v>0</v>
      </c>
    </row>
    <row r="26" spans="2:9" ht="15" customHeight="1" x14ac:dyDescent="0.2">
      <c r="B26" t="s">
        <v>107</v>
      </c>
      <c r="C26" s="12">
        <v>186</v>
      </c>
      <c r="D26" s="8">
        <v>5.92</v>
      </c>
      <c r="E26" s="12">
        <v>16</v>
      </c>
      <c r="F26" s="8">
        <v>1.3</v>
      </c>
      <c r="G26" s="12">
        <v>170</v>
      </c>
      <c r="H26" s="8">
        <v>8.92</v>
      </c>
      <c r="I26" s="12">
        <v>0</v>
      </c>
    </row>
    <row r="27" spans="2:9" ht="15" customHeight="1" x14ac:dyDescent="0.2">
      <c r="B27" t="s">
        <v>96</v>
      </c>
      <c r="C27" s="12">
        <v>164</v>
      </c>
      <c r="D27" s="8">
        <v>5.22</v>
      </c>
      <c r="E27" s="12">
        <v>14</v>
      </c>
      <c r="F27" s="8">
        <v>1.1299999999999999</v>
      </c>
      <c r="G27" s="12">
        <v>150</v>
      </c>
      <c r="H27" s="8">
        <v>7.87</v>
      </c>
      <c r="I27" s="12">
        <v>0</v>
      </c>
    </row>
    <row r="28" spans="2:9" ht="15" customHeight="1" x14ac:dyDescent="0.2">
      <c r="B28" t="s">
        <v>105</v>
      </c>
      <c r="C28" s="12">
        <v>162</v>
      </c>
      <c r="D28" s="8">
        <v>5.15</v>
      </c>
      <c r="E28" s="12">
        <v>85</v>
      </c>
      <c r="F28" s="8">
        <v>6.88</v>
      </c>
      <c r="G28" s="12">
        <v>77</v>
      </c>
      <c r="H28" s="8">
        <v>4.04</v>
      </c>
      <c r="I28" s="12">
        <v>0</v>
      </c>
    </row>
    <row r="29" spans="2:9" ht="15" customHeight="1" x14ac:dyDescent="0.2">
      <c r="B29" t="s">
        <v>95</v>
      </c>
      <c r="C29" s="12">
        <v>142</v>
      </c>
      <c r="D29" s="8">
        <v>4.5199999999999996</v>
      </c>
      <c r="E29" s="12">
        <v>18</v>
      </c>
      <c r="F29" s="8">
        <v>1.46</v>
      </c>
      <c r="G29" s="12">
        <v>124</v>
      </c>
      <c r="H29" s="8">
        <v>6.51</v>
      </c>
      <c r="I29" s="12">
        <v>0</v>
      </c>
    </row>
    <row r="30" spans="2:9" ht="15" customHeight="1" x14ac:dyDescent="0.2">
      <c r="B30" t="s">
        <v>98</v>
      </c>
      <c r="C30" s="12">
        <v>128</v>
      </c>
      <c r="D30" s="8">
        <v>4.07</v>
      </c>
      <c r="E30" s="12">
        <v>19</v>
      </c>
      <c r="F30" s="8">
        <v>1.54</v>
      </c>
      <c r="G30" s="12">
        <v>109</v>
      </c>
      <c r="H30" s="8">
        <v>5.72</v>
      </c>
      <c r="I30" s="12">
        <v>0</v>
      </c>
    </row>
    <row r="31" spans="2:9" ht="15" customHeight="1" x14ac:dyDescent="0.2">
      <c r="B31" t="s">
        <v>97</v>
      </c>
      <c r="C31" s="12">
        <v>125</v>
      </c>
      <c r="D31" s="8">
        <v>3.98</v>
      </c>
      <c r="E31" s="12">
        <v>30</v>
      </c>
      <c r="F31" s="8">
        <v>2.4300000000000002</v>
      </c>
      <c r="G31" s="12">
        <v>95</v>
      </c>
      <c r="H31" s="8">
        <v>4.99</v>
      </c>
      <c r="I31" s="12">
        <v>0</v>
      </c>
    </row>
    <row r="32" spans="2:9" ht="15" customHeight="1" x14ac:dyDescent="0.2">
      <c r="B32" t="s">
        <v>113</v>
      </c>
      <c r="C32" s="12">
        <v>112</v>
      </c>
      <c r="D32" s="8">
        <v>3.56</v>
      </c>
      <c r="E32" s="12">
        <v>95</v>
      </c>
      <c r="F32" s="8">
        <v>7.69</v>
      </c>
      <c r="G32" s="12">
        <v>17</v>
      </c>
      <c r="H32" s="8">
        <v>0.89</v>
      </c>
      <c r="I32" s="12">
        <v>0</v>
      </c>
    </row>
    <row r="33" spans="2:9" ht="15" customHeight="1" x14ac:dyDescent="0.2">
      <c r="B33" t="s">
        <v>94</v>
      </c>
      <c r="C33" s="12">
        <v>100</v>
      </c>
      <c r="D33" s="8">
        <v>3.18</v>
      </c>
      <c r="E33" s="12">
        <v>11</v>
      </c>
      <c r="F33" s="8">
        <v>0.89</v>
      </c>
      <c r="G33" s="12">
        <v>89</v>
      </c>
      <c r="H33" s="8">
        <v>4.67</v>
      </c>
      <c r="I33" s="12">
        <v>0</v>
      </c>
    </row>
    <row r="34" spans="2:9" ht="15" customHeight="1" x14ac:dyDescent="0.2">
      <c r="B34" t="s">
        <v>103</v>
      </c>
      <c r="C34" s="12">
        <v>93</v>
      </c>
      <c r="D34" s="8">
        <v>2.96</v>
      </c>
      <c r="E34" s="12">
        <v>61</v>
      </c>
      <c r="F34" s="8">
        <v>4.9400000000000004</v>
      </c>
      <c r="G34" s="12">
        <v>32</v>
      </c>
      <c r="H34" s="8">
        <v>1.68</v>
      </c>
      <c r="I34" s="12">
        <v>0</v>
      </c>
    </row>
    <row r="35" spans="2:9" ht="15" customHeight="1" x14ac:dyDescent="0.2">
      <c r="B35" t="s">
        <v>99</v>
      </c>
      <c r="C35" s="12">
        <v>80</v>
      </c>
      <c r="D35" s="8">
        <v>2.54</v>
      </c>
      <c r="E35" s="12">
        <v>11</v>
      </c>
      <c r="F35" s="8">
        <v>0.89</v>
      </c>
      <c r="G35" s="12">
        <v>69</v>
      </c>
      <c r="H35" s="8">
        <v>3.62</v>
      </c>
      <c r="I35" s="12">
        <v>0</v>
      </c>
    </row>
    <row r="36" spans="2:9" ht="15" customHeight="1" x14ac:dyDescent="0.2">
      <c r="B36" t="s">
        <v>104</v>
      </c>
      <c r="C36" s="12">
        <v>79</v>
      </c>
      <c r="D36" s="8">
        <v>2.5099999999999998</v>
      </c>
      <c r="E36" s="12">
        <v>38</v>
      </c>
      <c r="F36" s="8">
        <v>3.08</v>
      </c>
      <c r="G36" s="12">
        <v>41</v>
      </c>
      <c r="H36" s="8">
        <v>2.15</v>
      </c>
      <c r="I36" s="12">
        <v>0</v>
      </c>
    </row>
    <row r="37" spans="2:9" ht="15" customHeight="1" x14ac:dyDescent="0.2">
      <c r="B37" t="s">
        <v>112</v>
      </c>
      <c r="C37" s="12">
        <v>77</v>
      </c>
      <c r="D37" s="8">
        <v>2.4500000000000002</v>
      </c>
      <c r="E37" s="12">
        <v>57</v>
      </c>
      <c r="F37" s="8">
        <v>4.62</v>
      </c>
      <c r="G37" s="12">
        <v>19</v>
      </c>
      <c r="H37" s="8">
        <v>1</v>
      </c>
      <c r="I37" s="12">
        <v>0</v>
      </c>
    </row>
    <row r="38" spans="2:9" ht="15" customHeight="1" x14ac:dyDescent="0.2">
      <c r="B38" t="s">
        <v>124</v>
      </c>
      <c r="C38" s="12">
        <v>64</v>
      </c>
      <c r="D38" s="8">
        <v>2.04</v>
      </c>
      <c r="E38" s="12">
        <v>3</v>
      </c>
      <c r="F38" s="8">
        <v>0.24</v>
      </c>
      <c r="G38" s="12">
        <v>61</v>
      </c>
      <c r="H38" s="8">
        <v>3.2</v>
      </c>
      <c r="I38" s="12">
        <v>0</v>
      </c>
    </row>
    <row r="39" spans="2:9" ht="15" customHeight="1" x14ac:dyDescent="0.2">
      <c r="B39" t="s">
        <v>100</v>
      </c>
      <c r="C39" s="12">
        <v>64</v>
      </c>
      <c r="D39" s="8">
        <v>2.04</v>
      </c>
      <c r="E39" s="12">
        <v>9</v>
      </c>
      <c r="F39" s="8">
        <v>0.73</v>
      </c>
      <c r="G39" s="12">
        <v>55</v>
      </c>
      <c r="H39" s="8">
        <v>2.89</v>
      </c>
      <c r="I39" s="12">
        <v>0</v>
      </c>
    </row>
    <row r="40" spans="2:9" ht="15" customHeight="1" x14ac:dyDescent="0.2">
      <c r="B40" t="s">
        <v>108</v>
      </c>
      <c r="C40" s="12">
        <v>60</v>
      </c>
      <c r="D40" s="8">
        <v>1.91</v>
      </c>
      <c r="E40" s="12">
        <v>37</v>
      </c>
      <c r="F40" s="8">
        <v>3</v>
      </c>
      <c r="G40" s="12">
        <v>22</v>
      </c>
      <c r="H40" s="8">
        <v>1.1499999999999999</v>
      </c>
      <c r="I40" s="12">
        <v>1</v>
      </c>
    </row>
    <row r="41" spans="2:9" ht="15" customHeight="1" x14ac:dyDescent="0.2">
      <c r="B41" t="s">
        <v>109</v>
      </c>
      <c r="C41" s="12">
        <v>54</v>
      </c>
      <c r="D41" s="8">
        <v>1.72</v>
      </c>
      <c r="E41" s="12">
        <v>18</v>
      </c>
      <c r="F41" s="8">
        <v>1.46</v>
      </c>
      <c r="G41" s="12">
        <v>36</v>
      </c>
      <c r="H41" s="8">
        <v>1.89</v>
      </c>
      <c r="I41" s="12">
        <v>0</v>
      </c>
    </row>
    <row r="42" spans="2:9" ht="15" customHeight="1" x14ac:dyDescent="0.2">
      <c r="B42" t="s">
        <v>115</v>
      </c>
      <c r="C42" s="12">
        <v>52</v>
      </c>
      <c r="D42" s="8">
        <v>1.65</v>
      </c>
      <c r="E42" s="12">
        <v>16</v>
      </c>
      <c r="F42" s="8">
        <v>1.3</v>
      </c>
      <c r="G42" s="12">
        <v>36</v>
      </c>
      <c r="H42" s="8">
        <v>1.89</v>
      </c>
      <c r="I42" s="12">
        <v>0</v>
      </c>
    </row>
    <row r="43" spans="2:9" ht="15" customHeight="1" x14ac:dyDescent="0.2">
      <c r="B43" t="s">
        <v>121</v>
      </c>
      <c r="C43" s="12">
        <v>51</v>
      </c>
      <c r="D43" s="8">
        <v>1.62</v>
      </c>
      <c r="E43" s="12">
        <v>13</v>
      </c>
      <c r="F43" s="8">
        <v>1.05</v>
      </c>
      <c r="G43" s="12">
        <v>38</v>
      </c>
      <c r="H43" s="8">
        <v>1.99</v>
      </c>
      <c r="I43" s="12">
        <v>0</v>
      </c>
    </row>
    <row r="44" spans="2:9" ht="15" customHeight="1" x14ac:dyDescent="0.2">
      <c r="B44" t="s">
        <v>102</v>
      </c>
      <c r="C44" s="12">
        <v>51</v>
      </c>
      <c r="D44" s="8">
        <v>1.62</v>
      </c>
      <c r="E44" s="12">
        <v>29</v>
      </c>
      <c r="F44" s="8">
        <v>2.35</v>
      </c>
      <c r="G44" s="12">
        <v>22</v>
      </c>
      <c r="H44" s="8">
        <v>1.1499999999999999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168</v>
      </c>
      <c r="C48" s="12">
        <v>128</v>
      </c>
      <c r="D48" s="8">
        <v>4.07</v>
      </c>
      <c r="E48" s="12">
        <v>105</v>
      </c>
      <c r="F48" s="8">
        <v>8.5</v>
      </c>
      <c r="G48" s="12">
        <v>23</v>
      </c>
      <c r="H48" s="8">
        <v>1.21</v>
      </c>
      <c r="I48" s="12">
        <v>0</v>
      </c>
    </row>
    <row r="49" spans="2:9" ht="15" customHeight="1" x14ac:dyDescent="0.2">
      <c r="B49" t="s">
        <v>167</v>
      </c>
      <c r="C49" s="12">
        <v>107</v>
      </c>
      <c r="D49" s="8">
        <v>3.4</v>
      </c>
      <c r="E49" s="12">
        <v>101</v>
      </c>
      <c r="F49" s="8">
        <v>8.18</v>
      </c>
      <c r="G49" s="12">
        <v>6</v>
      </c>
      <c r="H49" s="8">
        <v>0.31</v>
      </c>
      <c r="I49" s="12">
        <v>0</v>
      </c>
    </row>
    <row r="50" spans="2:9" ht="15" customHeight="1" x14ac:dyDescent="0.2">
      <c r="B50" t="s">
        <v>165</v>
      </c>
      <c r="C50" s="12">
        <v>106</v>
      </c>
      <c r="D50" s="8">
        <v>3.37</v>
      </c>
      <c r="E50" s="12">
        <v>102</v>
      </c>
      <c r="F50" s="8">
        <v>8.26</v>
      </c>
      <c r="G50" s="12">
        <v>4</v>
      </c>
      <c r="H50" s="8">
        <v>0.21</v>
      </c>
      <c r="I50" s="12">
        <v>0</v>
      </c>
    </row>
    <row r="51" spans="2:9" ht="15" customHeight="1" x14ac:dyDescent="0.2">
      <c r="B51" t="s">
        <v>164</v>
      </c>
      <c r="C51" s="12">
        <v>85</v>
      </c>
      <c r="D51" s="8">
        <v>2.7</v>
      </c>
      <c r="E51" s="12">
        <v>77</v>
      </c>
      <c r="F51" s="8">
        <v>6.23</v>
      </c>
      <c r="G51" s="12">
        <v>8</v>
      </c>
      <c r="H51" s="8">
        <v>0.42</v>
      </c>
      <c r="I51" s="12">
        <v>0</v>
      </c>
    </row>
    <row r="52" spans="2:9" ht="15" customHeight="1" x14ac:dyDescent="0.2">
      <c r="B52" t="s">
        <v>171</v>
      </c>
      <c r="C52" s="12">
        <v>82</v>
      </c>
      <c r="D52" s="8">
        <v>2.61</v>
      </c>
      <c r="E52" s="12">
        <v>72</v>
      </c>
      <c r="F52" s="8">
        <v>5.83</v>
      </c>
      <c r="G52" s="12">
        <v>10</v>
      </c>
      <c r="H52" s="8">
        <v>0.52</v>
      </c>
      <c r="I52" s="12">
        <v>0</v>
      </c>
    </row>
    <row r="53" spans="2:9" ht="15" customHeight="1" x14ac:dyDescent="0.2">
      <c r="B53" t="s">
        <v>161</v>
      </c>
      <c r="C53" s="12">
        <v>76</v>
      </c>
      <c r="D53" s="8">
        <v>2.42</v>
      </c>
      <c r="E53" s="12">
        <v>7</v>
      </c>
      <c r="F53" s="8">
        <v>0.56999999999999995</v>
      </c>
      <c r="G53" s="12">
        <v>69</v>
      </c>
      <c r="H53" s="8">
        <v>3.62</v>
      </c>
      <c r="I53" s="12">
        <v>0</v>
      </c>
    </row>
    <row r="54" spans="2:9" ht="15" customHeight="1" x14ac:dyDescent="0.2">
      <c r="B54" t="s">
        <v>155</v>
      </c>
      <c r="C54" s="12">
        <v>64</v>
      </c>
      <c r="D54" s="8">
        <v>2.04</v>
      </c>
      <c r="E54" s="12">
        <v>6</v>
      </c>
      <c r="F54" s="8">
        <v>0.49</v>
      </c>
      <c r="G54" s="12">
        <v>58</v>
      </c>
      <c r="H54" s="8">
        <v>3.04</v>
      </c>
      <c r="I54" s="12">
        <v>0</v>
      </c>
    </row>
    <row r="55" spans="2:9" ht="15" customHeight="1" x14ac:dyDescent="0.2">
      <c r="B55" t="s">
        <v>197</v>
      </c>
      <c r="C55" s="12">
        <v>63</v>
      </c>
      <c r="D55" s="8">
        <v>2</v>
      </c>
      <c r="E55" s="12">
        <v>10</v>
      </c>
      <c r="F55" s="8">
        <v>0.81</v>
      </c>
      <c r="G55" s="12">
        <v>53</v>
      </c>
      <c r="H55" s="8">
        <v>2.78</v>
      </c>
      <c r="I55" s="12">
        <v>0</v>
      </c>
    </row>
    <row r="56" spans="2:9" ht="15" customHeight="1" x14ac:dyDescent="0.2">
      <c r="B56" t="s">
        <v>166</v>
      </c>
      <c r="C56" s="12">
        <v>58</v>
      </c>
      <c r="D56" s="8">
        <v>1.84</v>
      </c>
      <c r="E56" s="12">
        <v>44</v>
      </c>
      <c r="F56" s="8">
        <v>3.56</v>
      </c>
      <c r="G56" s="12">
        <v>14</v>
      </c>
      <c r="H56" s="8">
        <v>0.73</v>
      </c>
      <c r="I56" s="12">
        <v>0</v>
      </c>
    </row>
    <row r="57" spans="2:9" ht="15" customHeight="1" x14ac:dyDescent="0.2">
      <c r="B57" t="s">
        <v>170</v>
      </c>
      <c r="C57" s="12">
        <v>58</v>
      </c>
      <c r="D57" s="8">
        <v>1.84</v>
      </c>
      <c r="E57" s="12">
        <v>45</v>
      </c>
      <c r="F57" s="8">
        <v>3.64</v>
      </c>
      <c r="G57" s="12">
        <v>13</v>
      </c>
      <c r="H57" s="8">
        <v>0.68</v>
      </c>
      <c r="I57" s="12">
        <v>0</v>
      </c>
    </row>
    <row r="58" spans="2:9" ht="15" customHeight="1" x14ac:dyDescent="0.2">
      <c r="B58" t="s">
        <v>158</v>
      </c>
      <c r="C58" s="12">
        <v>57</v>
      </c>
      <c r="D58" s="8">
        <v>1.81</v>
      </c>
      <c r="E58" s="12">
        <v>32</v>
      </c>
      <c r="F58" s="8">
        <v>2.59</v>
      </c>
      <c r="G58" s="12">
        <v>25</v>
      </c>
      <c r="H58" s="8">
        <v>1.31</v>
      </c>
      <c r="I58" s="12">
        <v>0</v>
      </c>
    </row>
    <row r="59" spans="2:9" ht="15" customHeight="1" x14ac:dyDescent="0.2">
      <c r="B59" t="s">
        <v>163</v>
      </c>
      <c r="C59" s="12">
        <v>55</v>
      </c>
      <c r="D59" s="8">
        <v>1.75</v>
      </c>
      <c r="E59" s="12">
        <v>40</v>
      </c>
      <c r="F59" s="8">
        <v>3.24</v>
      </c>
      <c r="G59" s="12">
        <v>15</v>
      </c>
      <c r="H59" s="8">
        <v>0.79</v>
      </c>
      <c r="I59" s="12">
        <v>0</v>
      </c>
    </row>
    <row r="60" spans="2:9" ht="15" customHeight="1" x14ac:dyDescent="0.2">
      <c r="B60" t="s">
        <v>160</v>
      </c>
      <c r="C60" s="12">
        <v>54</v>
      </c>
      <c r="D60" s="8">
        <v>1.72</v>
      </c>
      <c r="E60" s="12">
        <v>6</v>
      </c>
      <c r="F60" s="8">
        <v>0.49</v>
      </c>
      <c r="G60" s="12">
        <v>48</v>
      </c>
      <c r="H60" s="8">
        <v>2.52</v>
      </c>
      <c r="I60" s="12">
        <v>0</v>
      </c>
    </row>
    <row r="61" spans="2:9" ht="15" customHeight="1" x14ac:dyDescent="0.2">
      <c r="B61" t="s">
        <v>202</v>
      </c>
      <c r="C61" s="12">
        <v>51</v>
      </c>
      <c r="D61" s="8">
        <v>1.62</v>
      </c>
      <c r="E61" s="12">
        <v>3</v>
      </c>
      <c r="F61" s="8">
        <v>0.24</v>
      </c>
      <c r="G61" s="12">
        <v>48</v>
      </c>
      <c r="H61" s="8">
        <v>2.52</v>
      </c>
      <c r="I61" s="12">
        <v>0</v>
      </c>
    </row>
    <row r="62" spans="2:9" ht="15" customHeight="1" x14ac:dyDescent="0.2">
      <c r="B62" t="s">
        <v>154</v>
      </c>
      <c r="C62" s="12">
        <v>50</v>
      </c>
      <c r="D62" s="8">
        <v>1.59</v>
      </c>
      <c r="E62" s="12">
        <v>8</v>
      </c>
      <c r="F62" s="8">
        <v>0.65</v>
      </c>
      <c r="G62" s="12">
        <v>42</v>
      </c>
      <c r="H62" s="8">
        <v>2.2000000000000002</v>
      </c>
      <c r="I62" s="12">
        <v>0</v>
      </c>
    </row>
    <row r="63" spans="2:9" ht="15" customHeight="1" x14ac:dyDescent="0.2">
      <c r="B63" t="s">
        <v>201</v>
      </c>
      <c r="C63" s="12">
        <v>49</v>
      </c>
      <c r="D63" s="8">
        <v>1.56</v>
      </c>
      <c r="E63" s="12">
        <v>7</v>
      </c>
      <c r="F63" s="8">
        <v>0.56999999999999995</v>
      </c>
      <c r="G63" s="12">
        <v>42</v>
      </c>
      <c r="H63" s="8">
        <v>2.2000000000000002</v>
      </c>
      <c r="I63" s="12">
        <v>0</v>
      </c>
    </row>
    <row r="64" spans="2:9" ht="15" customHeight="1" x14ac:dyDescent="0.2">
      <c r="B64" t="s">
        <v>196</v>
      </c>
      <c r="C64" s="12">
        <v>46</v>
      </c>
      <c r="D64" s="8">
        <v>1.46</v>
      </c>
      <c r="E64" s="12">
        <v>11</v>
      </c>
      <c r="F64" s="8">
        <v>0.89</v>
      </c>
      <c r="G64" s="12">
        <v>35</v>
      </c>
      <c r="H64" s="8">
        <v>1.84</v>
      </c>
      <c r="I64" s="12">
        <v>0</v>
      </c>
    </row>
    <row r="65" spans="2:9" ht="15" customHeight="1" x14ac:dyDescent="0.2">
      <c r="B65" t="s">
        <v>198</v>
      </c>
      <c r="C65" s="12">
        <v>39</v>
      </c>
      <c r="D65" s="8">
        <v>1.24</v>
      </c>
      <c r="E65" s="12">
        <v>18</v>
      </c>
      <c r="F65" s="8">
        <v>1.46</v>
      </c>
      <c r="G65" s="12">
        <v>21</v>
      </c>
      <c r="H65" s="8">
        <v>1.1000000000000001</v>
      </c>
      <c r="I65" s="12">
        <v>0</v>
      </c>
    </row>
    <row r="66" spans="2:9" ht="15" customHeight="1" x14ac:dyDescent="0.2">
      <c r="B66" t="s">
        <v>186</v>
      </c>
      <c r="C66" s="12">
        <v>37</v>
      </c>
      <c r="D66" s="8">
        <v>1.18</v>
      </c>
      <c r="E66" s="12">
        <v>25</v>
      </c>
      <c r="F66" s="8">
        <v>2.02</v>
      </c>
      <c r="G66" s="12">
        <v>12</v>
      </c>
      <c r="H66" s="8">
        <v>0.63</v>
      </c>
      <c r="I66" s="12">
        <v>0</v>
      </c>
    </row>
    <row r="67" spans="2:9" ht="15" customHeight="1" x14ac:dyDescent="0.2">
      <c r="B67" t="s">
        <v>174</v>
      </c>
      <c r="C67" s="12">
        <v>37</v>
      </c>
      <c r="D67" s="8">
        <v>1.18</v>
      </c>
      <c r="E67" s="12">
        <v>0</v>
      </c>
      <c r="F67" s="8">
        <v>0</v>
      </c>
      <c r="G67" s="12">
        <v>37</v>
      </c>
      <c r="H67" s="8">
        <v>1.94</v>
      </c>
      <c r="I67" s="12">
        <v>0</v>
      </c>
    </row>
    <row r="68" spans="2:9" ht="15" customHeight="1" x14ac:dyDescent="0.2">
      <c r="B68" t="s">
        <v>192</v>
      </c>
      <c r="C68" s="12">
        <v>37</v>
      </c>
      <c r="D68" s="8">
        <v>1.18</v>
      </c>
      <c r="E68" s="12">
        <v>10</v>
      </c>
      <c r="F68" s="8">
        <v>0.81</v>
      </c>
      <c r="G68" s="12">
        <v>27</v>
      </c>
      <c r="H68" s="8">
        <v>1.42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E72B4-0317-4F77-AFC2-26188AD0CE70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0.05</v>
      </c>
      <c r="I5" s="12">
        <v>0</v>
      </c>
    </row>
    <row r="6" spans="2:9" ht="15" customHeight="1" x14ac:dyDescent="0.2">
      <c r="B6" t="s">
        <v>72</v>
      </c>
      <c r="C6" s="12">
        <v>557</v>
      </c>
      <c r="D6" s="8">
        <v>17.760000000000002</v>
      </c>
      <c r="E6" s="12">
        <v>70</v>
      </c>
      <c r="F6" s="8">
        <v>6.42</v>
      </c>
      <c r="G6" s="12">
        <v>487</v>
      </c>
      <c r="H6" s="8">
        <v>23.85</v>
      </c>
      <c r="I6" s="12">
        <v>0</v>
      </c>
    </row>
    <row r="7" spans="2:9" ht="15" customHeight="1" x14ac:dyDescent="0.2">
      <c r="B7" t="s">
        <v>73</v>
      </c>
      <c r="C7" s="12">
        <v>449</v>
      </c>
      <c r="D7" s="8">
        <v>14.32</v>
      </c>
      <c r="E7" s="12">
        <v>85</v>
      </c>
      <c r="F7" s="8">
        <v>7.79</v>
      </c>
      <c r="G7" s="12">
        <v>364</v>
      </c>
      <c r="H7" s="8">
        <v>17.829999999999998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2">
      <c r="B9" t="s">
        <v>75</v>
      </c>
      <c r="C9" s="12">
        <v>24</v>
      </c>
      <c r="D9" s="8">
        <v>0.77</v>
      </c>
      <c r="E9" s="12">
        <v>0</v>
      </c>
      <c r="F9" s="8">
        <v>0</v>
      </c>
      <c r="G9" s="12">
        <v>24</v>
      </c>
      <c r="H9" s="8">
        <v>1.18</v>
      </c>
      <c r="I9" s="12">
        <v>0</v>
      </c>
    </row>
    <row r="10" spans="2:9" ht="15" customHeight="1" x14ac:dyDescent="0.2">
      <c r="B10" t="s">
        <v>76</v>
      </c>
      <c r="C10" s="12">
        <v>37</v>
      </c>
      <c r="D10" s="8">
        <v>1.18</v>
      </c>
      <c r="E10" s="12">
        <v>11</v>
      </c>
      <c r="F10" s="8">
        <v>1.01</v>
      </c>
      <c r="G10" s="12">
        <v>26</v>
      </c>
      <c r="H10" s="8">
        <v>1.27</v>
      </c>
      <c r="I10" s="12">
        <v>0</v>
      </c>
    </row>
    <row r="11" spans="2:9" ht="15" customHeight="1" x14ac:dyDescent="0.2">
      <c r="B11" t="s">
        <v>77</v>
      </c>
      <c r="C11" s="12">
        <v>548</v>
      </c>
      <c r="D11" s="8">
        <v>17.47</v>
      </c>
      <c r="E11" s="12">
        <v>145</v>
      </c>
      <c r="F11" s="8">
        <v>13.29</v>
      </c>
      <c r="G11" s="12">
        <v>402</v>
      </c>
      <c r="H11" s="8">
        <v>19.690000000000001</v>
      </c>
      <c r="I11" s="12">
        <v>1</v>
      </c>
    </row>
    <row r="12" spans="2:9" ht="15" customHeight="1" x14ac:dyDescent="0.2">
      <c r="B12" t="s">
        <v>78</v>
      </c>
      <c r="C12" s="12">
        <v>29</v>
      </c>
      <c r="D12" s="8">
        <v>0.92</v>
      </c>
      <c r="E12" s="12">
        <v>6</v>
      </c>
      <c r="F12" s="8">
        <v>0.55000000000000004</v>
      </c>
      <c r="G12" s="12">
        <v>23</v>
      </c>
      <c r="H12" s="8">
        <v>1.1299999999999999</v>
      </c>
      <c r="I12" s="12">
        <v>0</v>
      </c>
    </row>
    <row r="13" spans="2:9" ht="15" customHeight="1" x14ac:dyDescent="0.2">
      <c r="B13" t="s">
        <v>79</v>
      </c>
      <c r="C13" s="12">
        <v>288</v>
      </c>
      <c r="D13" s="8">
        <v>9.18</v>
      </c>
      <c r="E13" s="12">
        <v>42</v>
      </c>
      <c r="F13" s="8">
        <v>3.85</v>
      </c>
      <c r="G13" s="12">
        <v>245</v>
      </c>
      <c r="H13" s="8">
        <v>12</v>
      </c>
      <c r="I13" s="12">
        <v>0</v>
      </c>
    </row>
    <row r="14" spans="2:9" ht="15" customHeight="1" x14ac:dyDescent="0.2">
      <c r="B14" t="s">
        <v>80</v>
      </c>
      <c r="C14" s="12">
        <v>181</v>
      </c>
      <c r="D14" s="8">
        <v>5.77</v>
      </c>
      <c r="E14" s="12">
        <v>83</v>
      </c>
      <c r="F14" s="8">
        <v>7.61</v>
      </c>
      <c r="G14" s="12">
        <v>98</v>
      </c>
      <c r="H14" s="8">
        <v>4.8</v>
      </c>
      <c r="I14" s="12">
        <v>0</v>
      </c>
    </row>
    <row r="15" spans="2:9" ht="15" customHeight="1" x14ac:dyDescent="0.2">
      <c r="B15" t="s">
        <v>81</v>
      </c>
      <c r="C15" s="12">
        <v>274</v>
      </c>
      <c r="D15" s="8">
        <v>8.74</v>
      </c>
      <c r="E15" s="12">
        <v>224</v>
      </c>
      <c r="F15" s="8">
        <v>20.53</v>
      </c>
      <c r="G15" s="12">
        <v>49</v>
      </c>
      <c r="H15" s="8">
        <v>2.4</v>
      </c>
      <c r="I15" s="12">
        <v>0</v>
      </c>
    </row>
    <row r="16" spans="2:9" ht="15" customHeight="1" x14ac:dyDescent="0.2">
      <c r="B16" t="s">
        <v>82</v>
      </c>
      <c r="C16" s="12">
        <v>319</v>
      </c>
      <c r="D16" s="8">
        <v>10.17</v>
      </c>
      <c r="E16" s="12">
        <v>209</v>
      </c>
      <c r="F16" s="8">
        <v>19.16</v>
      </c>
      <c r="G16" s="12">
        <v>110</v>
      </c>
      <c r="H16" s="8">
        <v>5.39</v>
      </c>
      <c r="I16" s="12">
        <v>0</v>
      </c>
    </row>
    <row r="17" spans="2:9" ht="15" customHeight="1" x14ac:dyDescent="0.2">
      <c r="B17" t="s">
        <v>83</v>
      </c>
      <c r="C17" s="12">
        <v>144</v>
      </c>
      <c r="D17" s="8">
        <v>4.59</v>
      </c>
      <c r="E17" s="12">
        <v>96</v>
      </c>
      <c r="F17" s="8">
        <v>8.8000000000000007</v>
      </c>
      <c r="G17" s="12">
        <v>48</v>
      </c>
      <c r="H17" s="8">
        <v>2.35</v>
      </c>
      <c r="I17" s="12">
        <v>0</v>
      </c>
    </row>
    <row r="18" spans="2:9" ht="15" customHeight="1" x14ac:dyDescent="0.2">
      <c r="B18" t="s">
        <v>84</v>
      </c>
      <c r="C18" s="12">
        <v>153</v>
      </c>
      <c r="D18" s="8">
        <v>4.88</v>
      </c>
      <c r="E18" s="12">
        <v>86</v>
      </c>
      <c r="F18" s="8">
        <v>7.88</v>
      </c>
      <c r="G18" s="12">
        <v>67</v>
      </c>
      <c r="H18" s="8">
        <v>3.28</v>
      </c>
      <c r="I18" s="12">
        <v>0</v>
      </c>
    </row>
    <row r="19" spans="2:9" ht="15" customHeight="1" x14ac:dyDescent="0.2">
      <c r="B19" t="s">
        <v>85</v>
      </c>
      <c r="C19" s="12">
        <v>130</v>
      </c>
      <c r="D19" s="8">
        <v>4.1500000000000004</v>
      </c>
      <c r="E19" s="12">
        <v>34</v>
      </c>
      <c r="F19" s="8">
        <v>3.12</v>
      </c>
      <c r="G19" s="12">
        <v>96</v>
      </c>
      <c r="H19" s="8">
        <v>4.7</v>
      </c>
      <c r="I19" s="12">
        <v>0</v>
      </c>
    </row>
    <row r="20" spans="2:9" ht="15" customHeight="1" x14ac:dyDescent="0.2">
      <c r="B20" s="9" t="s">
        <v>277</v>
      </c>
      <c r="C20" s="12">
        <f>SUM(LTBL_23113[総数／事業所数])</f>
        <v>3136</v>
      </c>
      <c r="E20" s="12">
        <f>SUBTOTAL(109,LTBL_23113[個人／事業所数])</f>
        <v>1091</v>
      </c>
      <c r="G20" s="12">
        <f>SUBTOTAL(109,LTBL_23113[法人／事業所数])</f>
        <v>2042</v>
      </c>
      <c r="I20" s="12">
        <f>SUBTOTAL(109,LTBL_23113[法人以外の団体／事業所数])</f>
        <v>1</v>
      </c>
    </row>
    <row r="21" spans="2:9" ht="15" customHeight="1" x14ac:dyDescent="0.2">
      <c r="E21" s="11">
        <f>LTBL_23113[[#Totals],[個人／事業所数]]/LTBL_23113[[#Totals],[総数／事業所数]]</f>
        <v>0.34789540816326531</v>
      </c>
      <c r="G21" s="11">
        <f>LTBL_23113[[#Totals],[法人／事業所数]]/LTBL_23113[[#Totals],[総数／事業所数]]</f>
        <v>0.65114795918367352</v>
      </c>
      <c r="I21" s="11">
        <f>LTBL_23113[[#Totals],[法人以外の団体／事業所数]]/LTBL_23113[[#Totals],[総数／事業所数]]</f>
        <v>3.1887755102040814E-4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249</v>
      </c>
      <c r="D24" s="8">
        <v>7.94</v>
      </c>
      <c r="E24" s="12">
        <v>219</v>
      </c>
      <c r="F24" s="8">
        <v>20.07</v>
      </c>
      <c r="G24" s="12">
        <v>30</v>
      </c>
      <c r="H24" s="8">
        <v>1.47</v>
      </c>
      <c r="I24" s="12">
        <v>0</v>
      </c>
    </row>
    <row r="25" spans="2:9" ht="15" customHeight="1" x14ac:dyDescent="0.2">
      <c r="B25" t="s">
        <v>111</v>
      </c>
      <c r="C25" s="12">
        <v>246</v>
      </c>
      <c r="D25" s="8">
        <v>7.84</v>
      </c>
      <c r="E25" s="12">
        <v>188</v>
      </c>
      <c r="F25" s="8">
        <v>17.23</v>
      </c>
      <c r="G25" s="12">
        <v>58</v>
      </c>
      <c r="H25" s="8">
        <v>2.84</v>
      </c>
      <c r="I25" s="12">
        <v>0</v>
      </c>
    </row>
    <row r="26" spans="2:9" ht="15" customHeight="1" x14ac:dyDescent="0.2">
      <c r="B26" t="s">
        <v>107</v>
      </c>
      <c r="C26" s="12">
        <v>225</v>
      </c>
      <c r="D26" s="8">
        <v>7.17</v>
      </c>
      <c r="E26" s="12">
        <v>35</v>
      </c>
      <c r="F26" s="8">
        <v>3.21</v>
      </c>
      <c r="G26" s="12">
        <v>189</v>
      </c>
      <c r="H26" s="8">
        <v>9.26</v>
      </c>
      <c r="I26" s="12">
        <v>0</v>
      </c>
    </row>
    <row r="27" spans="2:9" ht="15" customHeight="1" x14ac:dyDescent="0.2">
      <c r="B27" t="s">
        <v>95</v>
      </c>
      <c r="C27" s="12">
        <v>202</v>
      </c>
      <c r="D27" s="8">
        <v>6.44</v>
      </c>
      <c r="E27" s="12">
        <v>29</v>
      </c>
      <c r="F27" s="8">
        <v>2.66</v>
      </c>
      <c r="G27" s="12">
        <v>173</v>
      </c>
      <c r="H27" s="8">
        <v>8.4700000000000006</v>
      </c>
      <c r="I27" s="12">
        <v>0</v>
      </c>
    </row>
    <row r="28" spans="2:9" ht="15" customHeight="1" x14ac:dyDescent="0.2">
      <c r="B28" t="s">
        <v>96</v>
      </c>
      <c r="C28" s="12">
        <v>185</v>
      </c>
      <c r="D28" s="8">
        <v>5.9</v>
      </c>
      <c r="E28" s="12">
        <v>19</v>
      </c>
      <c r="F28" s="8">
        <v>1.74</v>
      </c>
      <c r="G28" s="12">
        <v>166</v>
      </c>
      <c r="H28" s="8">
        <v>8.1300000000000008</v>
      </c>
      <c r="I28" s="12">
        <v>0</v>
      </c>
    </row>
    <row r="29" spans="2:9" ht="15" customHeight="1" x14ac:dyDescent="0.2">
      <c r="B29" t="s">
        <v>94</v>
      </c>
      <c r="C29" s="12">
        <v>170</v>
      </c>
      <c r="D29" s="8">
        <v>5.42</v>
      </c>
      <c r="E29" s="12">
        <v>22</v>
      </c>
      <c r="F29" s="8">
        <v>2.02</v>
      </c>
      <c r="G29" s="12">
        <v>148</v>
      </c>
      <c r="H29" s="8">
        <v>7.25</v>
      </c>
      <c r="I29" s="12">
        <v>0</v>
      </c>
    </row>
    <row r="30" spans="2:9" ht="15" customHeight="1" x14ac:dyDescent="0.2">
      <c r="B30" t="s">
        <v>112</v>
      </c>
      <c r="C30" s="12">
        <v>144</v>
      </c>
      <c r="D30" s="8">
        <v>4.59</v>
      </c>
      <c r="E30" s="12">
        <v>96</v>
      </c>
      <c r="F30" s="8">
        <v>8.8000000000000007</v>
      </c>
      <c r="G30" s="12">
        <v>48</v>
      </c>
      <c r="H30" s="8">
        <v>2.35</v>
      </c>
      <c r="I30" s="12">
        <v>0</v>
      </c>
    </row>
    <row r="31" spans="2:9" ht="15" customHeight="1" x14ac:dyDescent="0.2">
      <c r="B31" t="s">
        <v>105</v>
      </c>
      <c r="C31" s="12">
        <v>127</v>
      </c>
      <c r="D31" s="8">
        <v>4.05</v>
      </c>
      <c r="E31" s="12">
        <v>51</v>
      </c>
      <c r="F31" s="8">
        <v>4.67</v>
      </c>
      <c r="G31" s="12">
        <v>75</v>
      </c>
      <c r="H31" s="8">
        <v>3.67</v>
      </c>
      <c r="I31" s="12">
        <v>1</v>
      </c>
    </row>
    <row r="32" spans="2:9" ht="15" customHeight="1" x14ac:dyDescent="0.2">
      <c r="B32" t="s">
        <v>104</v>
      </c>
      <c r="C32" s="12">
        <v>114</v>
      </c>
      <c r="D32" s="8">
        <v>3.64</v>
      </c>
      <c r="E32" s="12">
        <v>42</v>
      </c>
      <c r="F32" s="8">
        <v>3.85</v>
      </c>
      <c r="G32" s="12">
        <v>72</v>
      </c>
      <c r="H32" s="8">
        <v>3.53</v>
      </c>
      <c r="I32" s="12">
        <v>0</v>
      </c>
    </row>
    <row r="33" spans="2:9" ht="15" customHeight="1" x14ac:dyDescent="0.2">
      <c r="B33" t="s">
        <v>108</v>
      </c>
      <c r="C33" s="12">
        <v>108</v>
      </c>
      <c r="D33" s="8">
        <v>3.44</v>
      </c>
      <c r="E33" s="12">
        <v>62</v>
      </c>
      <c r="F33" s="8">
        <v>5.68</v>
      </c>
      <c r="G33" s="12">
        <v>46</v>
      </c>
      <c r="H33" s="8">
        <v>2.25</v>
      </c>
      <c r="I33" s="12">
        <v>0</v>
      </c>
    </row>
    <row r="34" spans="2:9" ht="15" customHeight="1" x14ac:dyDescent="0.2">
      <c r="B34" t="s">
        <v>113</v>
      </c>
      <c r="C34" s="12">
        <v>102</v>
      </c>
      <c r="D34" s="8">
        <v>3.25</v>
      </c>
      <c r="E34" s="12">
        <v>86</v>
      </c>
      <c r="F34" s="8">
        <v>7.88</v>
      </c>
      <c r="G34" s="12">
        <v>16</v>
      </c>
      <c r="H34" s="8">
        <v>0.78</v>
      </c>
      <c r="I34" s="12">
        <v>0</v>
      </c>
    </row>
    <row r="35" spans="2:9" ht="15" customHeight="1" x14ac:dyDescent="0.2">
      <c r="B35" t="s">
        <v>100</v>
      </c>
      <c r="C35" s="12">
        <v>67</v>
      </c>
      <c r="D35" s="8">
        <v>2.14</v>
      </c>
      <c r="E35" s="12">
        <v>5</v>
      </c>
      <c r="F35" s="8">
        <v>0.46</v>
      </c>
      <c r="G35" s="12">
        <v>62</v>
      </c>
      <c r="H35" s="8">
        <v>3.04</v>
      </c>
      <c r="I35" s="12">
        <v>0</v>
      </c>
    </row>
    <row r="36" spans="2:9" ht="15" customHeight="1" x14ac:dyDescent="0.2">
      <c r="B36" t="s">
        <v>97</v>
      </c>
      <c r="C36" s="12">
        <v>65</v>
      </c>
      <c r="D36" s="8">
        <v>2.0699999999999998</v>
      </c>
      <c r="E36" s="12">
        <v>17</v>
      </c>
      <c r="F36" s="8">
        <v>1.56</v>
      </c>
      <c r="G36" s="12">
        <v>48</v>
      </c>
      <c r="H36" s="8">
        <v>2.35</v>
      </c>
      <c r="I36" s="12">
        <v>0</v>
      </c>
    </row>
    <row r="37" spans="2:9" ht="15" customHeight="1" x14ac:dyDescent="0.2">
      <c r="B37" t="s">
        <v>109</v>
      </c>
      <c r="C37" s="12">
        <v>64</v>
      </c>
      <c r="D37" s="8">
        <v>2.04</v>
      </c>
      <c r="E37" s="12">
        <v>21</v>
      </c>
      <c r="F37" s="8">
        <v>1.92</v>
      </c>
      <c r="G37" s="12">
        <v>43</v>
      </c>
      <c r="H37" s="8">
        <v>2.11</v>
      </c>
      <c r="I37" s="12">
        <v>0</v>
      </c>
    </row>
    <row r="38" spans="2:9" ht="15" customHeight="1" x14ac:dyDescent="0.2">
      <c r="B38" t="s">
        <v>101</v>
      </c>
      <c r="C38" s="12">
        <v>61</v>
      </c>
      <c r="D38" s="8">
        <v>1.95</v>
      </c>
      <c r="E38" s="12">
        <v>8</v>
      </c>
      <c r="F38" s="8">
        <v>0.73</v>
      </c>
      <c r="G38" s="12">
        <v>53</v>
      </c>
      <c r="H38" s="8">
        <v>2.6</v>
      </c>
      <c r="I38" s="12">
        <v>0</v>
      </c>
    </row>
    <row r="39" spans="2:9" ht="15" customHeight="1" x14ac:dyDescent="0.2">
      <c r="B39" t="s">
        <v>122</v>
      </c>
      <c r="C39" s="12">
        <v>57</v>
      </c>
      <c r="D39" s="8">
        <v>1.82</v>
      </c>
      <c r="E39" s="12">
        <v>25</v>
      </c>
      <c r="F39" s="8">
        <v>2.29</v>
      </c>
      <c r="G39" s="12">
        <v>32</v>
      </c>
      <c r="H39" s="8">
        <v>1.57</v>
      </c>
      <c r="I39" s="12">
        <v>0</v>
      </c>
    </row>
    <row r="40" spans="2:9" ht="15" customHeight="1" x14ac:dyDescent="0.2">
      <c r="B40" t="s">
        <v>116</v>
      </c>
      <c r="C40" s="12">
        <v>51</v>
      </c>
      <c r="D40" s="8">
        <v>1.63</v>
      </c>
      <c r="E40" s="12">
        <v>0</v>
      </c>
      <c r="F40" s="8">
        <v>0</v>
      </c>
      <c r="G40" s="12">
        <v>51</v>
      </c>
      <c r="H40" s="8">
        <v>2.5</v>
      </c>
      <c r="I40" s="12">
        <v>0</v>
      </c>
    </row>
    <row r="41" spans="2:9" ht="15" customHeight="1" x14ac:dyDescent="0.2">
      <c r="B41" t="s">
        <v>106</v>
      </c>
      <c r="C41" s="12">
        <v>49</v>
      </c>
      <c r="D41" s="8">
        <v>1.56</v>
      </c>
      <c r="E41" s="12">
        <v>6</v>
      </c>
      <c r="F41" s="8">
        <v>0.55000000000000004</v>
      </c>
      <c r="G41" s="12">
        <v>43</v>
      </c>
      <c r="H41" s="8">
        <v>2.11</v>
      </c>
      <c r="I41" s="12">
        <v>0</v>
      </c>
    </row>
    <row r="42" spans="2:9" ht="15" customHeight="1" x14ac:dyDescent="0.2">
      <c r="B42" t="s">
        <v>115</v>
      </c>
      <c r="C42" s="12">
        <v>49</v>
      </c>
      <c r="D42" s="8">
        <v>1.56</v>
      </c>
      <c r="E42" s="12">
        <v>12</v>
      </c>
      <c r="F42" s="8">
        <v>1.1000000000000001</v>
      </c>
      <c r="G42" s="12">
        <v>37</v>
      </c>
      <c r="H42" s="8">
        <v>1.81</v>
      </c>
      <c r="I42" s="12">
        <v>0</v>
      </c>
    </row>
    <row r="43" spans="2:9" ht="15" customHeight="1" x14ac:dyDescent="0.2">
      <c r="B43" t="s">
        <v>98</v>
      </c>
      <c r="C43" s="12">
        <v>45</v>
      </c>
      <c r="D43" s="8">
        <v>1.43</v>
      </c>
      <c r="E43" s="12">
        <v>4</v>
      </c>
      <c r="F43" s="8">
        <v>0.37</v>
      </c>
      <c r="G43" s="12">
        <v>41</v>
      </c>
      <c r="H43" s="8">
        <v>2.0099999999999998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110</v>
      </c>
      <c r="D47" s="8">
        <v>3.51</v>
      </c>
      <c r="E47" s="12">
        <v>27</v>
      </c>
      <c r="F47" s="8">
        <v>2.4700000000000002</v>
      </c>
      <c r="G47" s="12">
        <v>83</v>
      </c>
      <c r="H47" s="8">
        <v>4.0599999999999996</v>
      </c>
      <c r="I47" s="12">
        <v>0</v>
      </c>
    </row>
    <row r="48" spans="2:9" ht="15" customHeight="1" x14ac:dyDescent="0.2">
      <c r="B48" t="s">
        <v>168</v>
      </c>
      <c r="C48" s="12">
        <v>100</v>
      </c>
      <c r="D48" s="8">
        <v>3.19</v>
      </c>
      <c r="E48" s="12">
        <v>85</v>
      </c>
      <c r="F48" s="8">
        <v>7.79</v>
      </c>
      <c r="G48" s="12">
        <v>15</v>
      </c>
      <c r="H48" s="8">
        <v>0.73</v>
      </c>
      <c r="I48" s="12">
        <v>0</v>
      </c>
    </row>
    <row r="49" spans="2:9" ht="15" customHeight="1" x14ac:dyDescent="0.2">
      <c r="B49" t="s">
        <v>165</v>
      </c>
      <c r="C49" s="12">
        <v>86</v>
      </c>
      <c r="D49" s="8">
        <v>2.74</v>
      </c>
      <c r="E49" s="12">
        <v>79</v>
      </c>
      <c r="F49" s="8">
        <v>7.24</v>
      </c>
      <c r="G49" s="12">
        <v>7</v>
      </c>
      <c r="H49" s="8">
        <v>0.34</v>
      </c>
      <c r="I49" s="12">
        <v>0</v>
      </c>
    </row>
    <row r="50" spans="2:9" ht="15" customHeight="1" x14ac:dyDescent="0.2">
      <c r="B50" t="s">
        <v>154</v>
      </c>
      <c r="C50" s="12">
        <v>81</v>
      </c>
      <c r="D50" s="8">
        <v>2.58</v>
      </c>
      <c r="E50" s="12">
        <v>15</v>
      </c>
      <c r="F50" s="8">
        <v>1.37</v>
      </c>
      <c r="G50" s="12">
        <v>66</v>
      </c>
      <c r="H50" s="8">
        <v>3.23</v>
      </c>
      <c r="I50" s="12">
        <v>0</v>
      </c>
    </row>
    <row r="51" spans="2:9" ht="15" customHeight="1" x14ac:dyDescent="0.2">
      <c r="B51" t="s">
        <v>170</v>
      </c>
      <c r="C51" s="12">
        <v>81</v>
      </c>
      <c r="D51" s="8">
        <v>2.58</v>
      </c>
      <c r="E51" s="12">
        <v>62</v>
      </c>
      <c r="F51" s="8">
        <v>5.68</v>
      </c>
      <c r="G51" s="12">
        <v>19</v>
      </c>
      <c r="H51" s="8">
        <v>0.93</v>
      </c>
      <c r="I51" s="12">
        <v>0</v>
      </c>
    </row>
    <row r="52" spans="2:9" ht="15" customHeight="1" x14ac:dyDescent="0.2">
      <c r="B52" t="s">
        <v>156</v>
      </c>
      <c r="C52" s="12">
        <v>76</v>
      </c>
      <c r="D52" s="8">
        <v>2.42</v>
      </c>
      <c r="E52" s="12">
        <v>22</v>
      </c>
      <c r="F52" s="8">
        <v>2.02</v>
      </c>
      <c r="G52" s="12">
        <v>54</v>
      </c>
      <c r="H52" s="8">
        <v>2.64</v>
      </c>
      <c r="I52" s="12">
        <v>0</v>
      </c>
    </row>
    <row r="53" spans="2:9" ht="15" customHeight="1" x14ac:dyDescent="0.2">
      <c r="B53" t="s">
        <v>171</v>
      </c>
      <c r="C53" s="12">
        <v>76</v>
      </c>
      <c r="D53" s="8">
        <v>2.42</v>
      </c>
      <c r="E53" s="12">
        <v>66</v>
      </c>
      <c r="F53" s="8">
        <v>6.05</v>
      </c>
      <c r="G53" s="12">
        <v>10</v>
      </c>
      <c r="H53" s="8">
        <v>0.49</v>
      </c>
      <c r="I53" s="12">
        <v>0</v>
      </c>
    </row>
    <row r="54" spans="2:9" ht="15" customHeight="1" x14ac:dyDescent="0.2">
      <c r="B54" t="s">
        <v>167</v>
      </c>
      <c r="C54" s="12">
        <v>73</v>
      </c>
      <c r="D54" s="8">
        <v>2.33</v>
      </c>
      <c r="E54" s="12">
        <v>69</v>
      </c>
      <c r="F54" s="8">
        <v>6.32</v>
      </c>
      <c r="G54" s="12">
        <v>4</v>
      </c>
      <c r="H54" s="8">
        <v>0.2</v>
      </c>
      <c r="I54" s="12">
        <v>0</v>
      </c>
    </row>
    <row r="55" spans="2:9" ht="15" customHeight="1" x14ac:dyDescent="0.2">
      <c r="B55" t="s">
        <v>155</v>
      </c>
      <c r="C55" s="12">
        <v>68</v>
      </c>
      <c r="D55" s="8">
        <v>2.17</v>
      </c>
      <c r="E55" s="12">
        <v>4</v>
      </c>
      <c r="F55" s="8">
        <v>0.37</v>
      </c>
      <c r="G55" s="12">
        <v>64</v>
      </c>
      <c r="H55" s="8">
        <v>3.13</v>
      </c>
      <c r="I55" s="12">
        <v>0</v>
      </c>
    </row>
    <row r="56" spans="2:9" ht="15" customHeight="1" x14ac:dyDescent="0.2">
      <c r="B56" t="s">
        <v>169</v>
      </c>
      <c r="C56" s="12">
        <v>60</v>
      </c>
      <c r="D56" s="8">
        <v>1.91</v>
      </c>
      <c r="E56" s="12">
        <v>33</v>
      </c>
      <c r="F56" s="8">
        <v>3.02</v>
      </c>
      <c r="G56" s="12">
        <v>27</v>
      </c>
      <c r="H56" s="8">
        <v>1.32</v>
      </c>
      <c r="I56" s="12">
        <v>0</v>
      </c>
    </row>
    <row r="57" spans="2:9" ht="15" customHeight="1" x14ac:dyDescent="0.2">
      <c r="B57" t="s">
        <v>160</v>
      </c>
      <c r="C57" s="12">
        <v>58</v>
      </c>
      <c r="D57" s="8">
        <v>1.85</v>
      </c>
      <c r="E57" s="12">
        <v>5</v>
      </c>
      <c r="F57" s="8">
        <v>0.46</v>
      </c>
      <c r="G57" s="12">
        <v>53</v>
      </c>
      <c r="H57" s="8">
        <v>2.6</v>
      </c>
      <c r="I57" s="12">
        <v>0</v>
      </c>
    </row>
    <row r="58" spans="2:9" ht="15" customHeight="1" x14ac:dyDescent="0.2">
      <c r="B58" t="s">
        <v>188</v>
      </c>
      <c r="C58" s="12">
        <v>57</v>
      </c>
      <c r="D58" s="8">
        <v>1.82</v>
      </c>
      <c r="E58" s="12">
        <v>25</v>
      </c>
      <c r="F58" s="8">
        <v>2.29</v>
      </c>
      <c r="G58" s="12">
        <v>32</v>
      </c>
      <c r="H58" s="8">
        <v>1.57</v>
      </c>
      <c r="I58" s="12">
        <v>0</v>
      </c>
    </row>
    <row r="59" spans="2:9" ht="15" customHeight="1" x14ac:dyDescent="0.2">
      <c r="B59" t="s">
        <v>164</v>
      </c>
      <c r="C59" s="12">
        <v>53</v>
      </c>
      <c r="D59" s="8">
        <v>1.69</v>
      </c>
      <c r="E59" s="12">
        <v>51</v>
      </c>
      <c r="F59" s="8">
        <v>4.67</v>
      </c>
      <c r="G59" s="12">
        <v>2</v>
      </c>
      <c r="H59" s="8">
        <v>0.1</v>
      </c>
      <c r="I59" s="12">
        <v>0</v>
      </c>
    </row>
    <row r="60" spans="2:9" ht="15" customHeight="1" x14ac:dyDescent="0.2">
      <c r="B60" t="s">
        <v>200</v>
      </c>
      <c r="C60" s="12">
        <v>52</v>
      </c>
      <c r="D60" s="8">
        <v>1.66</v>
      </c>
      <c r="E60" s="12">
        <v>7</v>
      </c>
      <c r="F60" s="8">
        <v>0.64</v>
      </c>
      <c r="G60" s="12">
        <v>45</v>
      </c>
      <c r="H60" s="8">
        <v>2.2000000000000002</v>
      </c>
      <c r="I60" s="12">
        <v>0</v>
      </c>
    </row>
    <row r="61" spans="2:9" ht="15" customHeight="1" x14ac:dyDescent="0.2">
      <c r="B61" t="s">
        <v>153</v>
      </c>
      <c r="C61" s="12">
        <v>51</v>
      </c>
      <c r="D61" s="8">
        <v>1.63</v>
      </c>
      <c r="E61" s="12">
        <v>7</v>
      </c>
      <c r="F61" s="8">
        <v>0.64</v>
      </c>
      <c r="G61" s="12">
        <v>44</v>
      </c>
      <c r="H61" s="8">
        <v>2.15</v>
      </c>
      <c r="I61" s="12">
        <v>0</v>
      </c>
    </row>
    <row r="62" spans="2:9" ht="15" customHeight="1" x14ac:dyDescent="0.2">
      <c r="B62" t="s">
        <v>152</v>
      </c>
      <c r="C62" s="12">
        <v>49</v>
      </c>
      <c r="D62" s="8">
        <v>1.56</v>
      </c>
      <c r="E62" s="12">
        <v>2</v>
      </c>
      <c r="F62" s="8">
        <v>0.18</v>
      </c>
      <c r="G62" s="12">
        <v>47</v>
      </c>
      <c r="H62" s="8">
        <v>2.2999999999999998</v>
      </c>
      <c r="I62" s="12">
        <v>0</v>
      </c>
    </row>
    <row r="63" spans="2:9" ht="15" customHeight="1" x14ac:dyDescent="0.2">
      <c r="B63" t="s">
        <v>166</v>
      </c>
      <c r="C63" s="12">
        <v>47</v>
      </c>
      <c r="D63" s="8">
        <v>1.5</v>
      </c>
      <c r="E63" s="12">
        <v>18</v>
      </c>
      <c r="F63" s="8">
        <v>1.65</v>
      </c>
      <c r="G63" s="12">
        <v>29</v>
      </c>
      <c r="H63" s="8">
        <v>1.42</v>
      </c>
      <c r="I63" s="12">
        <v>0</v>
      </c>
    </row>
    <row r="64" spans="2:9" ht="15" customHeight="1" x14ac:dyDescent="0.2">
      <c r="B64" t="s">
        <v>174</v>
      </c>
      <c r="C64" s="12">
        <v>46</v>
      </c>
      <c r="D64" s="8">
        <v>1.47</v>
      </c>
      <c r="E64" s="12">
        <v>0</v>
      </c>
      <c r="F64" s="8">
        <v>0</v>
      </c>
      <c r="G64" s="12">
        <v>45</v>
      </c>
      <c r="H64" s="8">
        <v>2.2000000000000002</v>
      </c>
      <c r="I64" s="12">
        <v>0</v>
      </c>
    </row>
    <row r="65" spans="2:9" ht="15" customHeight="1" x14ac:dyDescent="0.2">
      <c r="B65" t="s">
        <v>163</v>
      </c>
      <c r="C65" s="12">
        <v>45</v>
      </c>
      <c r="D65" s="8">
        <v>1.43</v>
      </c>
      <c r="E65" s="12">
        <v>38</v>
      </c>
      <c r="F65" s="8">
        <v>3.48</v>
      </c>
      <c r="G65" s="12">
        <v>7</v>
      </c>
      <c r="H65" s="8">
        <v>0.34</v>
      </c>
      <c r="I65" s="12">
        <v>0</v>
      </c>
    </row>
    <row r="66" spans="2:9" ht="15" customHeight="1" x14ac:dyDescent="0.2">
      <c r="B66" t="s">
        <v>203</v>
      </c>
      <c r="C66" s="12">
        <v>40</v>
      </c>
      <c r="D66" s="8">
        <v>1.28</v>
      </c>
      <c r="E66" s="12">
        <v>8</v>
      </c>
      <c r="F66" s="8">
        <v>0.73</v>
      </c>
      <c r="G66" s="12">
        <v>32</v>
      </c>
      <c r="H66" s="8">
        <v>1.57</v>
      </c>
      <c r="I66" s="12">
        <v>0</v>
      </c>
    </row>
    <row r="67" spans="2:9" ht="15" customHeight="1" x14ac:dyDescent="0.2">
      <c r="B67" t="s">
        <v>184</v>
      </c>
      <c r="C67" s="12">
        <v>40</v>
      </c>
      <c r="D67" s="8">
        <v>1.28</v>
      </c>
      <c r="E67" s="12">
        <v>9</v>
      </c>
      <c r="F67" s="8">
        <v>0.82</v>
      </c>
      <c r="G67" s="12">
        <v>31</v>
      </c>
      <c r="H67" s="8">
        <v>1.52</v>
      </c>
      <c r="I67" s="12">
        <v>0</v>
      </c>
    </row>
    <row r="68" spans="2:9" ht="15" customHeight="1" x14ac:dyDescent="0.2">
      <c r="B68" t="s">
        <v>173</v>
      </c>
      <c r="C68" s="12">
        <v>40</v>
      </c>
      <c r="D68" s="8">
        <v>1.28</v>
      </c>
      <c r="E68" s="12">
        <v>5</v>
      </c>
      <c r="F68" s="8">
        <v>0.46</v>
      </c>
      <c r="G68" s="12">
        <v>35</v>
      </c>
      <c r="H68" s="8">
        <v>1.71</v>
      </c>
      <c r="I68" s="12">
        <v>0</v>
      </c>
    </row>
    <row r="69" spans="2:9" ht="15" customHeight="1" x14ac:dyDescent="0.2">
      <c r="B69" t="s">
        <v>157</v>
      </c>
      <c r="C69" s="12">
        <v>40</v>
      </c>
      <c r="D69" s="8">
        <v>1.28</v>
      </c>
      <c r="E69" s="12">
        <v>10</v>
      </c>
      <c r="F69" s="8">
        <v>0.92</v>
      </c>
      <c r="G69" s="12">
        <v>30</v>
      </c>
      <c r="H69" s="8">
        <v>1.47</v>
      </c>
      <c r="I69" s="12">
        <v>0</v>
      </c>
    </row>
    <row r="71" spans="2:9" ht="15" customHeight="1" x14ac:dyDescent="0.2">
      <c r="B71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76EE-34E7-483A-8C14-41433341760E}">
  <sheetPr>
    <pageSetUpPr fitToPage="1"/>
  </sheetPr>
  <dimension ref="A1:H113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86</v>
      </c>
      <c r="B1" s="7" t="s">
        <v>87</v>
      </c>
      <c r="C1" s="7" t="s">
        <v>88</v>
      </c>
      <c r="D1" s="7" t="s">
        <v>89</v>
      </c>
      <c r="E1" s="7" t="s">
        <v>90</v>
      </c>
      <c r="F1" s="7" t="s">
        <v>91</v>
      </c>
      <c r="G1" s="7" t="s">
        <v>92</v>
      </c>
      <c r="H1" s="7" t="s">
        <v>93</v>
      </c>
    </row>
    <row r="2" spans="1:8" x14ac:dyDescent="0.2">
      <c r="A2" s="1" t="s">
        <v>0</v>
      </c>
      <c r="B2" s="4">
        <v>166076</v>
      </c>
      <c r="C2" s="5">
        <v>99.989999999999981</v>
      </c>
      <c r="D2" s="4">
        <v>74362</v>
      </c>
      <c r="E2" s="5">
        <v>100.00999999999998</v>
      </c>
      <c r="F2" s="4">
        <v>90889</v>
      </c>
      <c r="G2" s="5">
        <v>100.02000000000001</v>
      </c>
      <c r="H2" s="4">
        <v>239</v>
      </c>
    </row>
    <row r="3" spans="1:8" x14ac:dyDescent="0.2">
      <c r="A3" s="2" t="s">
        <v>71</v>
      </c>
      <c r="B3" s="4">
        <v>32</v>
      </c>
      <c r="C3" s="5">
        <v>0.02</v>
      </c>
      <c r="D3" s="4">
        <v>0</v>
      </c>
      <c r="E3" s="5">
        <v>0</v>
      </c>
      <c r="F3" s="4">
        <v>32</v>
      </c>
      <c r="G3" s="5">
        <v>0.04</v>
      </c>
      <c r="H3" s="4">
        <v>0</v>
      </c>
    </row>
    <row r="4" spans="1:8" x14ac:dyDescent="0.2">
      <c r="A4" s="2" t="s">
        <v>72</v>
      </c>
      <c r="B4" s="4">
        <v>21624</v>
      </c>
      <c r="C4" s="5">
        <v>13.02</v>
      </c>
      <c r="D4" s="4">
        <v>4879</v>
      </c>
      <c r="E4" s="5">
        <v>6.56</v>
      </c>
      <c r="F4" s="4">
        <v>16739</v>
      </c>
      <c r="G4" s="5">
        <v>18.420000000000002</v>
      </c>
      <c r="H4" s="4">
        <v>6</v>
      </c>
    </row>
    <row r="5" spans="1:8" x14ac:dyDescent="0.2">
      <c r="A5" s="2" t="s">
        <v>73</v>
      </c>
      <c r="B5" s="4">
        <v>20928</v>
      </c>
      <c r="C5" s="5">
        <v>12.6</v>
      </c>
      <c r="D5" s="4">
        <v>6534</v>
      </c>
      <c r="E5" s="5">
        <v>8.7899999999999991</v>
      </c>
      <c r="F5" s="4">
        <v>14389</v>
      </c>
      <c r="G5" s="5">
        <v>15.83</v>
      </c>
      <c r="H5" s="4">
        <v>5</v>
      </c>
    </row>
    <row r="6" spans="1:8" x14ac:dyDescent="0.2">
      <c r="A6" s="2" t="s">
        <v>74</v>
      </c>
      <c r="B6" s="4">
        <v>239</v>
      </c>
      <c r="C6" s="5">
        <v>0.14000000000000001</v>
      </c>
      <c r="D6" s="4">
        <v>6</v>
      </c>
      <c r="E6" s="5">
        <v>0.01</v>
      </c>
      <c r="F6" s="4">
        <v>223</v>
      </c>
      <c r="G6" s="5">
        <v>0.25</v>
      </c>
      <c r="H6" s="4">
        <v>0</v>
      </c>
    </row>
    <row r="7" spans="1:8" x14ac:dyDescent="0.2">
      <c r="A7" s="2" t="s">
        <v>75</v>
      </c>
      <c r="B7" s="4">
        <v>1809</v>
      </c>
      <c r="C7" s="5">
        <v>1.0900000000000001</v>
      </c>
      <c r="D7" s="4">
        <v>89</v>
      </c>
      <c r="E7" s="5">
        <v>0.12</v>
      </c>
      <c r="F7" s="4">
        <v>1716</v>
      </c>
      <c r="G7" s="5">
        <v>1.89</v>
      </c>
      <c r="H7" s="4">
        <v>4</v>
      </c>
    </row>
    <row r="8" spans="1:8" x14ac:dyDescent="0.2">
      <c r="A8" s="2" t="s">
        <v>76</v>
      </c>
      <c r="B8" s="4">
        <v>1813</v>
      </c>
      <c r="C8" s="5">
        <v>1.0900000000000001</v>
      </c>
      <c r="D8" s="4">
        <v>242</v>
      </c>
      <c r="E8" s="5">
        <v>0.33</v>
      </c>
      <c r="F8" s="4">
        <v>1552</v>
      </c>
      <c r="G8" s="5">
        <v>1.71</v>
      </c>
      <c r="H8" s="4">
        <v>12</v>
      </c>
    </row>
    <row r="9" spans="1:8" x14ac:dyDescent="0.2">
      <c r="A9" s="2" t="s">
        <v>77</v>
      </c>
      <c r="B9" s="4">
        <v>34840</v>
      </c>
      <c r="C9" s="5">
        <v>20.98</v>
      </c>
      <c r="D9" s="4">
        <v>13551</v>
      </c>
      <c r="E9" s="5">
        <v>18.22</v>
      </c>
      <c r="F9" s="4">
        <v>21268</v>
      </c>
      <c r="G9" s="5">
        <v>23.4</v>
      </c>
      <c r="H9" s="4">
        <v>21</v>
      </c>
    </row>
    <row r="10" spans="1:8" x14ac:dyDescent="0.2">
      <c r="A10" s="2" t="s">
        <v>78</v>
      </c>
      <c r="B10" s="4">
        <v>1186</v>
      </c>
      <c r="C10" s="5">
        <v>0.71</v>
      </c>
      <c r="D10" s="4">
        <v>145</v>
      </c>
      <c r="E10" s="5">
        <v>0.19</v>
      </c>
      <c r="F10" s="4">
        <v>1040</v>
      </c>
      <c r="G10" s="5">
        <v>1.1399999999999999</v>
      </c>
      <c r="H10" s="4">
        <v>1</v>
      </c>
    </row>
    <row r="11" spans="1:8" x14ac:dyDescent="0.2">
      <c r="A11" s="2" t="s">
        <v>79</v>
      </c>
      <c r="B11" s="4">
        <v>16117</v>
      </c>
      <c r="C11" s="5">
        <v>9.6999999999999993</v>
      </c>
      <c r="D11" s="4">
        <v>4410</v>
      </c>
      <c r="E11" s="5">
        <v>5.93</v>
      </c>
      <c r="F11" s="4">
        <v>11680</v>
      </c>
      <c r="G11" s="5">
        <v>12.85</v>
      </c>
      <c r="H11" s="4">
        <v>20</v>
      </c>
    </row>
    <row r="12" spans="1:8" x14ac:dyDescent="0.2">
      <c r="A12" s="2" t="s">
        <v>80</v>
      </c>
      <c r="B12" s="4">
        <v>10226</v>
      </c>
      <c r="C12" s="5">
        <v>6.16</v>
      </c>
      <c r="D12" s="4">
        <v>5316</v>
      </c>
      <c r="E12" s="5">
        <v>7.15</v>
      </c>
      <c r="F12" s="4">
        <v>4877</v>
      </c>
      <c r="G12" s="5">
        <v>5.37</v>
      </c>
      <c r="H12" s="4">
        <v>15</v>
      </c>
    </row>
    <row r="13" spans="1:8" x14ac:dyDescent="0.2">
      <c r="A13" s="2" t="s">
        <v>81</v>
      </c>
      <c r="B13" s="4">
        <v>18393</v>
      </c>
      <c r="C13" s="5">
        <v>11.08</v>
      </c>
      <c r="D13" s="4">
        <v>14337</v>
      </c>
      <c r="E13" s="5">
        <v>19.28</v>
      </c>
      <c r="F13" s="4">
        <v>3995</v>
      </c>
      <c r="G13" s="5">
        <v>4.4000000000000004</v>
      </c>
      <c r="H13" s="4">
        <v>7</v>
      </c>
    </row>
    <row r="14" spans="1:8" x14ac:dyDescent="0.2">
      <c r="A14" s="2" t="s">
        <v>82</v>
      </c>
      <c r="B14" s="4">
        <v>18116</v>
      </c>
      <c r="C14" s="5">
        <v>10.91</v>
      </c>
      <c r="D14" s="4">
        <v>13174</v>
      </c>
      <c r="E14" s="5">
        <v>17.72</v>
      </c>
      <c r="F14" s="4">
        <v>4885</v>
      </c>
      <c r="G14" s="5">
        <v>5.37</v>
      </c>
      <c r="H14" s="4">
        <v>14</v>
      </c>
    </row>
    <row r="15" spans="1:8" x14ac:dyDescent="0.2">
      <c r="A15" s="2" t="s">
        <v>83</v>
      </c>
      <c r="B15" s="4">
        <v>7194</v>
      </c>
      <c r="C15" s="5">
        <v>4.33</v>
      </c>
      <c r="D15" s="4">
        <v>4986</v>
      </c>
      <c r="E15" s="5">
        <v>6.71</v>
      </c>
      <c r="F15" s="4">
        <v>2016</v>
      </c>
      <c r="G15" s="5">
        <v>2.2200000000000002</v>
      </c>
      <c r="H15" s="4">
        <v>44</v>
      </c>
    </row>
    <row r="16" spans="1:8" x14ac:dyDescent="0.2">
      <c r="A16" s="2" t="s">
        <v>84</v>
      </c>
      <c r="B16" s="4">
        <v>7661</v>
      </c>
      <c r="C16" s="5">
        <v>4.6100000000000003</v>
      </c>
      <c r="D16" s="4">
        <v>4874</v>
      </c>
      <c r="E16" s="5">
        <v>6.55</v>
      </c>
      <c r="F16" s="4">
        <v>2545</v>
      </c>
      <c r="G16" s="5">
        <v>2.8</v>
      </c>
      <c r="H16" s="4">
        <v>27</v>
      </c>
    </row>
    <row r="17" spans="1:8" x14ac:dyDescent="0.2">
      <c r="A17" s="2" t="s">
        <v>85</v>
      </c>
      <c r="B17" s="4">
        <v>5898</v>
      </c>
      <c r="C17" s="5">
        <v>3.55</v>
      </c>
      <c r="D17" s="4">
        <v>1819</v>
      </c>
      <c r="E17" s="5">
        <v>2.4500000000000002</v>
      </c>
      <c r="F17" s="4">
        <v>3932</v>
      </c>
      <c r="G17" s="5">
        <v>4.33</v>
      </c>
      <c r="H17" s="4">
        <v>63</v>
      </c>
    </row>
    <row r="18" spans="1:8" x14ac:dyDescent="0.2">
      <c r="A18" s="1" t="s">
        <v>1</v>
      </c>
      <c r="B18" s="4">
        <v>62884</v>
      </c>
      <c r="C18" s="5">
        <v>100</v>
      </c>
      <c r="D18" s="4">
        <v>23499</v>
      </c>
      <c r="E18" s="5">
        <v>99.999999999999986</v>
      </c>
      <c r="F18" s="4">
        <v>39284</v>
      </c>
      <c r="G18" s="5">
        <v>100.01</v>
      </c>
      <c r="H18" s="4">
        <v>74</v>
      </c>
    </row>
    <row r="19" spans="1:8" x14ac:dyDescent="0.2">
      <c r="A19" s="2" t="s">
        <v>71</v>
      </c>
      <c r="B19" s="4">
        <v>3</v>
      </c>
      <c r="C19" s="5">
        <v>0</v>
      </c>
      <c r="D19" s="4">
        <v>0</v>
      </c>
      <c r="E19" s="5">
        <v>0</v>
      </c>
      <c r="F19" s="4">
        <v>3</v>
      </c>
      <c r="G19" s="5">
        <v>0.01</v>
      </c>
      <c r="H19" s="4">
        <v>0</v>
      </c>
    </row>
    <row r="20" spans="1:8" x14ac:dyDescent="0.2">
      <c r="A20" s="2" t="s">
        <v>72</v>
      </c>
      <c r="B20" s="4">
        <v>6499</v>
      </c>
      <c r="C20" s="5">
        <v>10.33</v>
      </c>
      <c r="D20" s="4">
        <v>718</v>
      </c>
      <c r="E20" s="5">
        <v>3.06</v>
      </c>
      <c r="F20" s="4">
        <v>5779</v>
      </c>
      <c r="G20" s="5">
        <v>14.71</v>
      </c>
      <c r="H20" s="4">
        <v>2</v>
      </c>
    </row>
    <row r="21" spans="1:8" x14ac:dyDescent="0.2">
      <c r="A21" s="2" t="s">
        <v>73</v>
      </c>
      <c r="B21" s="4">
        <v>6561</v>
      </c>
      <c r="C21" s="5">
        <v>10.43</v>
      </c>
      <c r="D21" s="4">
        <v>1499</v>
      </c>
      <c r="E21" s="5">
        <v>6.38</v>
      </c>
      <c r="F21" s="4">
        <v>5062</v>
      </c>
      <c r="G21" s="5">
        <v>12.89</v>
      </c>
      <c r="H21" s="4">
        <v>0</v>
      </c>
    </row>
    <row r="22" spans="1:8" x14ac:dyDescent="0.2">
      <c r="A22" s="2" t="s">
        <v>74</v>
      </c>
      <c r="B22" s="4">
        <v>58</v>
      </c>
      <c r="C22" s="5">
        <v>0.09</v>
      </c>
      <c r="D22" s="4">
        <v>0</v>
      </c>
      <c r="E22" s="5">
        <v>0</v>
      </c>
      <c r="F22" s="4">
        <v>58</v>
      </c>
      <c r="G22" s="5">
        <v>0.15</v>
      </c>
      <c r="H22" s="4">
        <v>0</v>
      </c>
    </row>
    <row r="23" spans="1:8" x14ac:dyDescent="0.2">
      <c r="A23" s="2" t="s">
        <v>75</v>
      </c>
      <c r="B23" s="4">
        <v>1111</v>
      </c>
      <c r="C23" s="5">
        <v>1.77</v>
      </c>
      <c r="D23" s="4">
        <v>50</v>
      </c>
      <c r="E23" s="5">
        <v>0.21</v>
      </c>
      <c r="F23" s="4">
        <v>1058</v>
      </c>
      <c r="G23" s="5">
        <v>2.69</v>
      </c>
      <c r="H23" s="4">
        <v>3</v>
      </c>
    </row>
    <row r="24" spans="1:8" x14ac:dyDescent="0.2">
      <c r="A24" s="2" t="s">
        <v>76</v>
      </c>
      <c r="B24" s="4">
        <v>597</v>
      </c>
      <c r="C24" s="5">
        <v>0.95</v>
      </c>
      <c r="D24" s="4">
        <v>82</v>
      </c>
      <c r="E24" s="5">
        <v>0.35</v>
      </c>
      <c r="F24" s="4">
        <v>514</v>
      </c>
      <c r="G24" s="5">
        <v>1.31</v>
      </c>
      <c r="H24" s="4">
        <v>1</v>
      </c>
    </row>
    <row r="25" spans="1:8" x14ac:dyDescent="0.2">
      <c r="A25" s="2" t="s">
        <v>77</v>
      </c>
      <c r="B25" s="4">
        <v>13528</v>
      </c>
      <c r="C25" s="5">
        <v>21.51</v>
      </c>
      <c r="D25" s="4">
        <v>3817</v>
      </c>
      <c r="E25" s="5">
        <v>16.239999999999998</v>
      </c>
      <c r="F25" s="4">
        <v>9705</v>
      </c>
      <c r="G25" s="5">
        <v>24.7</v>
      </c>
      <c r="H25" s="4">
        <v>6</v>
      </c>
    </row>
    <row r="26" spans="1:8" x14ac:dyDescent="0.2">
      <c r="A26" s="2" t="s">
        <v>78</v>
      </c>
      <c r="B26" s="4">
        <v>552</v>
      </c>
      <c r="C26" s="5">
        <v>0.88</v>
      </c>
      <c r="D26" s="4">
        <v>41</v>
      </c>
      <c r="E26" s="5">
        <v>0.17</v>
      </c>
      <c r="F26" s="4">
        <v>510</v>
      </c>
      <c r="G26" s="5">
        <v>1.3</v>
      </c>
      <c r="H26" s="4">
        <v>1</v>
      </c>
    </row>
    <row r="27" spans="1:8" x14ac:dyDescent="0.2">
      <c r="A27" s="2" t="s">
        <v>79</v>
      </c>
      <c r="B27" s="4">
        <v>7315</v>
      </c>
      <c r="C27" s="5">
        <v>11.63</v>
      </c>
      <c r="D27" s="4">
        <v>1193</v>
      </c>
      <c r="E27" s="5">
        <v>5.08</v>
      </c>
      <c r="F27" s="4">
        <v>6108</v>
      </c>
      <c r="G27" s="5">
        <v>15.55</v>
      </c>
      <c r="H27" s="4">
        <v>12</v>
      </c>
    </row>
    <row r="28" spans="1:8" x14ac:dyDescent="0.2">
      <c r="A28" s="2" t="s">
        <v>80</v>
      </c>
      <c r="B28" s="4">
        <v>5194</v>
      </c>
      <c r="C28" s="5">
        <v>8.26</v>
      </c>
      <c r="D28" s="4">
        <v>2506</v>
      </c>
      <c r="E28" s="5">
        <v>10.66</v>
      </c>
      <c r="F28" s="4">
        <v>2678</v>
      </c>
      <c r="G28" s="5">
        <v>6.82</v>
      </c>
      <c r="H28" s="4">
        <v>8</v>
      </c>
    </row>
    <row r="29" spans="1:8" x14ac:dyDescent="0.2">
      <c r="A29" s="2" t="s">
        <v>81</v>
      </c>
      <c r="B29" s="4">
        <v>7651</v>
      </c>
      <c r="C29" s="5">
        <v>12.17</v>
      </c>
      <c r="D29" s="4">
        <v>5827</v>
      </c>
      <c r="E29" s="5">
        <v>24.8</v>
      </c>
      <c r="F29" s="4">
        <v>1815</v>
      </c>
      <c r="G29" s="5">
        <v>4.62</v>
      </c>
      <c r="H29" s="4">
        <v>0</v>
      </c>
    </row>
    <row r="30" spans="1:8" x14ac:dyDescent="0.2">
      <c r="A30" s="2" t="s">
        <v>82</v>
      </c>
      <c r="B30" s="4">
        <v>6330</v>
      </c>
      <c r="C30" s="5">
        <v>10.07</v>
      </c>
      <c r="D30" s="4">
        <v>4053</v>
      </c>
      <c r="E30" s="5">
        <v>17.25</v>
      </c>
      <c r="F30" s="4">
        <v>2273</v>
      </c>
      <c r="G30" s="5">
        <v>5.79</v>
      </c>
      <c r="H30" s="4">
        <v>3</v>
      </c>
    </row>
    <row r="31" spans="1:8" x14ac:dyDescent="0.2">
      <c r="A31" s="2" t="s">
        <v>83</v>
      </c>
      <c r="B31" s="4">
        <v>2324</v>
      </c>
      <c r="C31" s="5">
        <v>3.7</v>
      </c>
      <c r="D31" s="4">
        <v>1433</v>
      </c>
      <c r="E31" s="5">
        <v>6.1</v>
      </c>
      <c r="F31" s="4">
        <v>873</v>
      </c>
      <c r="G31" s="5">
        <v>2.2200000000000002</v>
      </c>
      <c r="H31" s="4">
        <v>12</v>
      </c>
    </row>
    <row r="32" spans="1:8" x14ac:dyDescent="0.2">
      <c r="A32" s="2" t="s">
        <v>84</v>
      </c>
      <c r="B32" s="4">
        <v>2892</v>
      </c>
      <c r="C32" s="5">
        <v>4.5999999999999996</v>
      </c>
      <c r="D32" s="4">
        <v>1794</v>
      </c>
      <c r="E32" s="5">
        <v>7.63</v>
      </c>
      <c r="F32" s="4">
        <v>1091</v>
      </c>
      <c r="G32" s="5">
        <v>2.78</v>
      </c>
      <c r="H32" s="4">
        <v>7</v>
      </c>
    </row>
    <row r="33" spans="1:8" x14ac:dyDescent="0.2">
      <c r="A33" s="2" t="s">
        <v>85</v>
      </c>
      <c r="B33" s="4">
        <v>2269</v>
      </c>
      <c r="C33" s="5">
        <v>3.61</v>
      </c>
      <c r="D33" s="4">
        <v>486</v>
      </c>
      <c r="E33" s="5">
        <v>2.0699999999999998</v>
      </c>
      <c r="F33" s="4">
        <v>1757</v>
      </c>
      <c r="G33" s="5">
        <v>4.47</v>
      </c>
      <c r="H33" s="4">
        <v>19</v>
      </c>
    </row>
    <row r="34" spans="1:8" x14ac:dyDescent="0.2">
      <c r="A34" s="1" t="s">
        <v>2</v>
      </c>
      <c r="B34" s="4">
        <v>4336</v>
      </c>
      <c r="C34" s="5">
        <v>100</v>
      </c>
      <c r="D34" s="4">
        <v>1741</v>
      </c>
      <c r="E34" s="5">
        <v>99.990000000000009</v>
      </c>
      <c r="F34" s="4">
        <v>2590</v>
      </c>
      <c r="G34" s="5">
        <v>99.99</v>
      </c>
      <c r="H34" s="4">
        <v>5</v>
      </c>
    </row>
    <row r="35" spans="1:8" x14ac:dyDescent="0.2">
      <c r="A35" s="2" t="s">
        <v>71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72</v>
      </c>
      <c r="B36" s="4">
        <v>259</v>
      </c>
      <c r="C36" s="5">
        <v>5.97</v>
      </c>
      <c r="D36" s="4">
        <v>22</v>
      </c>
      <c r="E36" s="5">
        <v>1.26</v>
      </c>
      <c r="F36" s="4">
        <v>237</v>
      </c>
      <c r="G36" s="5">
        <v>9.15</v>
      </c>
      <c r="H36" s="4">
        <v>0</v>
      </c>
    </row>
    <row r="37" spans="1:8" x14ac:dyDescent="0.2">
      <c r="A37" s="2" t="s">
        <v>73</v>
      </c>
      <c r="B37" s="4">
        <v>157</v>
      </c>
      <c r="C37" s="5">
        <v>3.62</v>
      </c>
      <c r="D37" s="4">
        <v>24</v>
      </c>
      <c r="E37" s="5">
        <v>1.38</v>
      </c>
      <c r="F37" s="4">
        <v>133</v>
      </c>
      <c r="G37" s="5">
        <v>5.14</v>
      </c>
      <c r="H37" s="4">
        <v>0</v>
      </c>
    </row>
    <row r="38" spans="1:8" x14ac:dyDescent="0.2">
      <c r="A38" s="2" t="s">
        <v>74</v>
      </c>
      <c r="B38" s="4">
        <v>4</v>
      </c>
      <c r="C38" s="5">
        <v>0.09</v>
      </c>
      <c r="D38" s="4">
        <v>0</v>
      </c>
      <c r="E38" s="5">
        <v>0</v>
      </c>
      <c r="F38" s="4">
        <v>4</v>
      </c>
      <c r="G38" s="5">
        <v>0.15</v>
      </c>
      <c r="H38" s="4">
        <v>0</v>
      </c>
    </row>
    <row r="39" spans="1:8" x14ac:dyDescent="0.2">
      <c r="A39" s="2" t="s">
        <v>75</v>
      </c>
      <c r="B39" s="4">
        <v>81</v>
      </c>
      <c r="C39" s="5">
        <v>1.87</v>
      </c>
      <c r="D39" s="4">
        <v>1</v>
      </c>
      <c r="E39" s="5">
        <v>0.06</v>
      </c>
      <c r="F39" s="4">
        <v>80</v>
      </c>
      <c r="G39" s="5">
        <v>3.09</v>
      </c>
      <c r="H39" s="4">
        <v>0</v>
      </c>
    </row>
    <row r="40" spans="1:8" x14ac:dyDescent="0.2">
      <c r="A40" s="2" t="s">
        <v>76</v>
      </c>
      <c r="B40" s="4">
        <v>19</v>
      </c>
      <c r="C40" s="5">
        <v>0.44</v>
      </c>
      <c r="D40" s="4">
        <v>4</v>
      </c>
      <c r="E40" s="5">
        <v>0.23</v>
      </c>
      <c r="F40" s="4">
        <v>15</v>
      </c>
      <c r="G40" s="5">
        <v>0.57999999999999996</v>
      </c>
      <c r="H40" s="4">
        <v>0</v>
      </c>
    </row>
    <row r="41" spans="1:8" x14ac:dyDescent="0.2">
      <c r="A41" s="2" t="s">
        <v>77</v>
      </c>
      <c r="B41" s="4">
        <v>911</v>
      </c>
      <c r="C41" s="5">
        <v>21.01</v>
      </c>
      <c r="D41" s="4">
        <v>291</v>
      </c>
      <c r="E41" s="5">
        <v>16.71</v>
      </c>
      <c r="F41" s="4">
        <v>620</v>
      </c>
      <c r="G41" s="5">
        <v>23.94</v>
      </c>
      <c r="H41" s="4">
        <v>0</v>
      </c>
    </row>
    <row r="42" spans="1:8" x14ac:dyDescent="0.2">
      <c r="A42" s="2" t="s">
        <v>78</v>
      </c>
      <c r="B42" s="4">
        <v>27</v>
      </c>
      <c r="C42" s="5">
        <v>0.62</v>
      </c>
      <c r="D42" s="4">
        <v>3</v>
      </c>
      <c r="E42" s="5">
        <v>0.17</v>
      </c>
      <c r="F42" s="4">
        <v>24</v>
      </c>
      <c r="G42" s="5">
        <v>0.93</v>
      </c>
      <c r="H42" s="4">
        <v>0</v>
      </c>
    </row>
    <row r="43" spans="1:8" x14ac:dyDescent="0.2">
      <c r="A43" s="2" t="s">
        <v>79</v>
      </c>
      <c r="B43" s="4">
        <v>749</v>
      </c>
      <c r="C43" s="5">
        <v>17.27</v>
      </c>
      <c r="D43" s="4">
        <v>143</v>
      </c>
      <c r="E43" s="5">
        <v>8.2100000000000009</v>
      </c>
      <c r="F43" s="4">
        <v>605</v>
      </c>
      <c r="G43" s="5">
        <v>23.36</v>
      </c>
      <c r="H43" s="4">
        <v>1</v>
      </c>
    </row>
    <row r="44" spans="1:8" x14ac:dyDescent="0.2">
      <c r="A44" s="2" t="s">
        <v>80</v>
      </c>
      <c r="B44" s="4">
        <v>441</v>
      </c>
      <c r="C44" s="5">
        <v>10.17</v>
      </c>
      <c r="D44" s="4">
        <v>188</v>
      </c>
      <c r="E44" s="5">
        <v>10.8</v>
      </c>
      <c r="F44" s="4">
        <v>253</v>
      </c>
      <c r="G44" s="5">
        <v>9.77</v>
      </c>
      <c r="H44" s="4">
        <v>0</v>
      </c>
    </row>
    <row r="45" spans="1:8" x14ac:dyDescent="0.2">
      <c r="A45" s="2" t="s">
        <v>81</v>
      </c>
      <c r="B45" s="4">
        <v>587</v>
      </c>
      <c r="C45" s="5">
        <v>13.54</v>
      </c>
      <c r="D45" s="4">
        <v>424</v>
      </c>
      <c r="E45" s="5">
        <v>24.35</v>
      </c>
      <c r="F45" s="4">
        <v>163</v>
      </c>
      <c r="G45" s="5">
        <v>6.29</v>
      </c>
      <c r="H45" s="4">
        <v>0</v>
      </c>
    </row>
    <row r="46" spans="1:8" x14ac:dyDescent="0.2">
      <c r="A46" s="2" t="s">
        <v>82</v>
      </c>
      <c r="B46" s="4">
        <v>505</v>
      </c>
      <c r="C46" s="5">
        <v>11.65</v>
      </c>
      <c r="D46" s="4">
        <v>320</v>
      </c>
      <c r="E46" s="5">
        <v>18.38</v>
      </c>
      <c r="F46" s="4">
        <v>184</v>
      </c>
      <c r="G46" s="5">
        <v>7.1</v>
      </c>
      <c r="H46" s="4">
        <v>1</v>
      </c>
    </row>
    <row r="47" spans="1:8" x14ac:dyDescent="0.2">
      <c r="A47" s="2" t="s">
        <v>83</v>
      </c>
      <c r="B47" s="4">
        <v>232</v>
      </c>
      <c r="C47" s="5">
        <v>5.35</v>
      </c>
      <c r="D47" s="4">
        <v>142</v>
      </c>
      <c r="E47" s="5">
        <v>8.16</v>
      </c>
      <c r="F47" s="4">
        <v>90</v>
      </c>
      <c r="G47" s="5">
        <v>3.47</v>
      </c>
      <c r="H47" s="4">
        <v>0</v>
      </c>
    </row>
    <row r="48" spans="1:8" x14ac:dyDescent="0.2">
      <c r="A48" s="2" t="s">
        <v>84</v>
      </c>
      <c r="B48" s="4">
        <v>240</v>
      </c>
      <c r="C48" s="5">
        <v>5.54</v>
      </c>
      <c r="D48" s="4">
        <v>157</v>
      </c>
      <c r="E48" s="5">
        <v>9.02</v>
      </c>
      <c r="F48" s="4">
        <v>83</v>
      </c>
      <c r="G48" s="5">
        <v>3.2</v>
      </c>
      <c r="H48" s="4">
        <v>0</v>
      </c>
    </row>
    <row r="49" spans="1:8" x14ac:dyDescent="0.2">
      <c r="A49" s="2" t="s">
        <v>85</v>
      </c>
      <c r="B49" s="4">
        <v>124</v>
      </c>
      <c r="C49" s="5">
        <v>2.86</v>
      </c>
      <c r="D49" s="4">
        <v>22</v>
      </c>
      <c r="E49" s="5">
        <v>1.26</v>
      </c>
      <c r="F49" s="4">
        <v>99</v>
      </c>
      <c r="G49" s="5">
        <v>3.82</v>
      </c>
      <c r="H49" s="4">
        <v>3</v>
      </c>
    </row>
    <row r="50" spans="1:8" x14ac:dyDescent="0.2">
      <c r="A50" s="1" t="s">
        <v>3</v>
      </c>
      <c r="B50" s="4">
        <v>3409</v>
      </c>
      <c r="C50" s="5">
        <v>100</v>
      </c>
      <c r="D50" s="4">
        <v>1140</v>
      </c>
      <c r="E50" s="5">
        <v>100.00999999999999</v>
      </c>
      <c r="F50" s="4">
        <v>2262</v>
      </c>
      <c r="G50" s="5">
        <v>99.980000000000018</v>
      </c>
      <c r="H50" s="4">
        <v>6</v>
      </c>
    </row>
    <row r="51" spans="1:8" x14ac:dyDescent="0.2">
      <c r="A51" s="2" t="s">
        <v>71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72</v>
      </c>
      <c r="B52" s="4">
        <v>213</v>
      </c>
      <c r="C52" s="5">
        <v>6.25</v>
      </c>
      <c r="D52" s="4">
        <v>14</v>
      </c>
      <c r="E52" s="5">
        <v>1.23</v>
      </c>
      <c r="F52" s="4">
        <v>199</v>
      </c>
      <c r="G52" s="5">
        <v>8.8000000000000007</v>
      </c>
      <c r="H52" s="4">
        <v>0</v>
      </c>
    </row>
    <row r="53" spans="1:8" x14ac:dyDescent="0.2">
      <c r="A53" s="2" t="s">
        <v>73</v>
      </c>
      <c r="B53" s="4">
        <v>198</v>
      </c>
      <c r="C53" s="5">
        <v>5.81</v>
      </c>
      <c r="D53" s="4">
        <v>31</v>
      </c>
      <c r="E53" s="5">
        <v>2.72</v>
      </c>
      <c r="F53" s="4">
        <v>167</v>
      </c>
      <c r="G53" s="5">
        <v>7.38</v>
      </c>
      <c r="H53" s="4">
        <v>0</v>
      </c>
    </row>
    <row r="54" spans="1:8" x14ac:dyDescent="0.2">
      <c r="A54" s="2" t="s">
        <v>74</v>
      </c>
      <c r="B54" s="4">
        <v>8</v>
      </c>
      <c r="C54" s="5">
        <v>0.23</v>
      </c>
      <c r="D54" s="4">
        <v>0</v>
      </c>
      <c r="E54" s="5">
        <v>0</v>
      </c>
      <c r="F54" s="4">
        <v>8</v>
      </c>
      <c r="G54" s="5">
        <v>0.35</v>
      </c>
      <c r="H54" s="4">
        <v>0</v>
      </c>
    </row>
    <row r="55" spans="1:8" x14ac:dyDescent="0.2">
      <c r="A55" s="2" t="s">
        <v>75</v>
      </c>
      <c r="B55" s="4">
        <v>105</v>
      </c>
      <c r="C55" s="5">
        <v>3.08</v>
      </c>
      <c r="D55" s="4">
        <v>5</v>
      </c>
      <c r="E55" s="5">
        <v>0.44</v>
      </c>
      <c r="F55" s="4">
        <v>99</v>
      </c>
      <c r="G55" s="5">
        <v>4.38</v>
      </c>
      <c r="H55" s="4">
        <v>1</v>
      </c>
    </row>
    <row r="56" spans="1:8" x14ac:dyDescent="0.2">
      <c r="A56" s="2" t="s">
        <v>76</v>
      </c>
      <c r="B56" s="4">
        <v>13</v>
      </c>
      <c r="C56" s="5">
        <v>0.38</v>
      </c>
      <c r="D56" s="4">
        <v>1</v>
      </c>
      <c r="E56" s="5">
        <v>0.09</v>
      </c>
      <c r="F56" s="4">
        <v>12</v>
      </c>
      <c r="G56" s="5">
        <v>0.53</v>
      </c>
      <c r="H56" s="4">
        <v>0</v>
      </c>
    </row>
    <row r="57" spans="1:8" x14ac:dyDescent="0.2">
      <c r="A57" s="2" t="s">
        <v>77</v>
      </c>
      <c r="B57" s="4">
        <v>710</v>
      </c>
      <c r="C57" s="5">
        <v>20.83</v>
      </c>
      <c r="D57" s="4">
        <v>157</v>
      </c>
      <c r="E57" s="5">
        <v>13.77</v>
      </c>
      <c r="F57" s="4">
        <v>552</v>
      </c>
      <c r="G57" s="5">
        <v>24.4</v>
      </c>
      <c r="H57" s="4">
        <v>1</v>
      </c>
    </row>
    <row r="58" spans="1:8" x14ac:dyDescent="0.2">
      <c r="A58" s="2" t="s">
        <v>78</v>
      </c>
      <c r="B58" s="4">
        <v>38</v>
      </c>
      <c r="C58" s="5">
        <v>1.1100000000000001</v>
      </c>
      <c r="D58" s="4">
        <v>0</v>
      </c>
      <c r="E58" s="5">
        <v>0</v>
      </c>
      <c r="F58" s="4">
        <v>38</v>
      </c>
      <c r="G58" s="5">
        <v>1.68</v>
      </c>
      <c r="H58" s="4">
        <v>0</v>
      </c>
    </row>
    <row r="59" spans="1:8" x14ac:dyDescent="0.2">
      <c r="A59" s="2" t="s">
        <v>79</v>
      </c>
      <c r="B59" s="4">
        <v>538</v>
      </c>
      <c r="C59" s="5">
        <v>15.78</v>
      </c>
      <c r="D59" s="4">
        <v>84</v>
      </c>
      <c r="E59" s="5">
        <v>7.37</v>
      </c>
      <c r="F59" s="4">
        <v>453</v>
      </c>
      <c r="G59" s="5">
        <v>20.03</v>
      </c>
      <c r="H59" s="4">
        <v>1</v>
      </c>
    </row>
    <row r="60" spans="1:8" x14ac:dyDescent="0.2">
      <c r="A60" s="2" t="s">
        <v>80</v>
      </c>
      <c r="B60" s="4">
        <v>513</v>
      </c>
      <c r="C60" s="5">
        <v>15.05</v>
      </c>
      <c r="D60" s="4">
        <v>246</v>
      </c>
      <c r="E60" s="5">
        <v>21.58</v>
      </c>
      <c r="F60" s="4">
        <v>267</v>
      </c>
      <c r="G60" s="5">
        <v>11.8</v>
      </c>
      <c r="H60" s="4">
        <v>0</v>
      </c>
    </row>
    <row r="61" spans="1:8" x14ac:dyDescent="0.2">
      <c r="A61" s="2" t="s">
        <v>81</v>
      </c>
      <c r="B61" s="4">
        <v>365</v>
      </c>
      <c r="C61" s="5">
        <v>10.71</v>
      </c>
      <c r="D61" s="4">
        <v>262</v>
      </c>
      <c r="E61" s="5">
        <v>22.98</v>
      </c>
      <c r="F61" s="4">
        <v>103</v>
      </c>
      <c r="G61" s="5">
        <v>4.55</v>
      </c>
      <c r="H61" s="4">
        <v>0</v>
      </c>
    </row>
    <row r="62" spans="1:8" x14ac:dyDescent="0.2">
      <c r="A62" s="2" t="s">
        <v>82</v>
      </c>
      <c r="B62" s="4">
        <v>304</v>
      </c>
      <c r="C62" s="5">
        <v>8.92</v>
      </c>
      <c r="D62" s="4">
        <v>170</v>
      </c>
      <c r="E62" s="5">
        <v>14.91</v>
      </c>
      <c r="F62" s="4">
        <v>134</v>
      </c>
      <c r="G62" s="5">
        <v>5.92</v>
      </c>
      <c r="H62" s="4">
        <v>0</v>
      </c>
    </row>
    <row r="63" spans="1:8" x14ac:dyDescent="0.2">
      <c r="A63" s="2" t="s">
        <v>83</v>
      </c>
      <c r="B63" s="4">
        <v>133</v>
      </c>
      <c r="C63" s="5">
        <v>3.9</v>
      </c>
      <c r="D63" s="4">
        <v>72</v>
      </c>
      <c r="E63" s="5">
        <v>6.32</v>
      </c>
      <c r="F63" s="4">
        <v>60</v>
      </c>
      <c r="G63" s="5">
        <v>2.65</v>
      </c>
      <c r="H63" s="4">
        <v>0</v>
      </c>
    </row>
    <row r="64" spans="1:8" x14ac:dyDescent="0.2">
      <c r="A64" s="2" t="s">
        <v>84</v>
      </c>
      <c r="B64" s="4">
        <v>145</v>
      </c>
      <c r="C64" s="5">
        <v>4.25</v>
      </c>
      <c r="D64" s="4">
        <v>85</v>
      </c>
      <c r="E64" s="5">
        <v>7.46</v>
      </c>
      <c r="F64" s="4">
        <v>60</v>
      </c>
      <c r="G64" s="5">
        <v>2.65</v>
      </c>
      <c r="H64" s="4">
        <v>0</v>
      </c>
    </row>
    <row r="65" spans="1:8" x14ac:dyDescent="0.2">
      <c r="A65" s="2" t="s">
        <v>85</v>
      </c>
      <c r="B65" s="4">
        <v>126</v>
      </c>
      <c r="C65" s="5">
        <v>3.7</v>
      </c>
      <c r="D65" s="4">
        <v>13</v>
      </c>
      <c r="E65" s="5">
        <v>1.1399999999999999</v>
      </c>
      <c r="F65" s="4">
        <v>110</v>
      </c>
      <c r="G65" s="5">
        <v>4.8600000000000003</v>
      </c>
      <c r="H65" s="4">
        <v>3</v>
      </c>
    </row>
    <row r="66" spans="1:8" x14ac:dyDescent="0.2">
      <c r="A66" s="1" t="s">
        <v>4</v>
      </c>
      <c r="B66" s="4">
        <v>4186</v>
      </c>
      <c r="C66" s="5">
        <v>100.00999999999999</v>
      </c>
      <c r="D66" s="4">
        <v>1826</v>
      </c>
      <c r="E66" s="5">
        <v>100.00000000000001</v>
      </c>
      <c r="F66" s="4">
        <v>2353</v>
      </c>
      <c r="G66" s="5">
        <v>99.989999999999981</v>
      </c>
      <c r="H66" s="4">
        <v>4</v>
      </c>
    </row>
    <row r="67" spans="1:8" x14ac:dyDescent="0.2">
      <c r="A67" s="2" t="s">
        <v>71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72</v>
      </c>
      <c r="B68" s="4">
        <v>605</v>
      </c>
      <c r="C68" s="5">
        <v>14.45</v>
      </c>
      <c r="D68" s="4">
        <v>86</v>
      </c>
      <c r="E68" s="5">
        <v>4.71</v>
      </c>
      <c r="F68" s="4">
        <v>519</v>
      </c>
      <c r="G68" s="5">
        <v>22.06</v>
      </c>
      <c r="H68" s="4">
        <v>0</v>
      </c>
    </row>
    <row r="69" spans="1:8" x14ac:dyDescent="0.2">
      <c r="A69" s="2" t="s">
        <v>73</v>
      </c>
      <c r="B69" s="4">
        <v>493</v>
      </c>
      <c r="C69" s="5">
        <v>11.78</v>
      </c>
      <c r="D69" s="4">
        <v>140</v>
      </c>
      <c r="E69" s="5">
        <v>7.67</v>
      </c>
      <c r="F69" s="4">
        <v>353</v>
      </c>
      <c r="G69" s="5">
        <v>15</v>
      </c>
      <c r="H69" s="4">
        <v>0</v>
      </c>
    </row>
    <row r="70" spans="1:8" x14ac:dyDescent="0.2">
      <c r="A70" s="2" t="s">
        <v>74</v>
      </c>
      <c r="B70" s="4">
        <v>2</v>
      </c>
      <c r="C70" s="5">
        <v>0.05</v>
      </c>
      <c r="D70" s="4">
        <v>0</v>
      </c>
      <c r="E70" s="5">
        <v>0</v>
      </c>
      <c r="F70" s="4">
        <v>2</v>
      </c>
      <c r="G70" s="5">
        <v>0.08</v>
      </c>
      <c r="H70" s="4">
        <v>0</v>
      </c>
    </row>
    <row r="71" spans="1:8" x14ac:dyDescent="0.2">
      <c r="A71" s="2" t="s">
        <v>75</v>
      </c>
      <c r="B71" s="4">
        <v>33</v>
      </c>
      <c r="C71" s="5">
        <v>0.79</v>
      </c>
      <c r="D71" s="4">
        <v>2</v>
      </c>
      <c r="E71" s="5">
        <v>0.11</v>
      </c>
      <c r="F71" s="4">
        <v>30</v>
      </c>
      <c r="G71" s="5">
        <v>1.27</v>
      </c>
      <c r="H71" s="4">
        <v>1</v>
      </c>
    </row>
    <row r="72" spans="1:8" x14ac:dyDescent="0.2">
      <c r="A72" s="2" t="s">
        <v>76</v>
      </c>
      <c r="B72" s="4">
        <v>39</v>
      </c>
      <c r="C72" s="5">
        <v>0.93</v>
      </c>
      <c r="D72" s="4">
        <v>7</v>
      </c>
      <c r="E72" s="5">
        <v>0.38</v>
      </c>
      <c r="F72" s="4">
        <v>32</v>
      </c>
      <c r="G72" s="5">
        <v>1.36</v>
      </c>
      <c r="H72" s="4">
        <v>0</v>
      </c>
    </row>
    <row r="73" spans="1:8" x14ac:dyDescent="0.2">
      <c r="A73" s="2" t="s">
        <v>77</v>
      </c>
      <c r="B73" s="4">
        <v>814</v>
      </c>
      <c r="C73" s="5">
        <v>19.45</v>
      </c>
      <c r="D73" s="4">
        <v>291</v>
      </c>
      <c r="E73" s="5">
        <v>15.94</v>
      </c>
      <c r="F73" s="4">
        <v>523</v>
      </c>
      <c r="G73" s="5">
        <v>22.23</v>
      </c>
      <c r="H73" s="4">
        <v>0</v>
      </c>
    </row>
    <row r="74" spans="1:8" x14ac:dyDescent="0.2">
      <c r="A74" s="2" t="s">
        <v>78</v>
      </c>
      <c r="B74" s="4">
        <v>37</v>
      </c>
      <c r="C74" s="5">
        <v>0.88</v>
      </c>
      <c r="D74" s="4">
        <v>3</v>
      </c>
      <c r="E74" s="5">
        <v>0.16</v>
      </c>
      <c r="F74" s="4">
        <v>34</v>
      </c>
      <c r="G74" s="5">
        <v>1.44</v>
      </c>
      <c r="H74" s="4">
        <v>0</v>
      </c>
    </row>
    <row r="75" spans="1:8" x14ac:dyDescent="0.2">
      <c r="A75" s="2" t="s">
        <v>79</v>
      </c>
      <c r="B75" s="4">
        <v>449</v>
      </c>
      <c r="C75" s="5">
        <v>10.73</v>
      </c>
      <c r="D75" s="4">
        <v>112</v>
      </c>
      <c r="E75" s="5">
        <v>6.13</v>
      </c>
      <c r="F75" s="4">
        <v>336</v>
      </c>
      <c r="G75" s="5">
        <v>14.28</v>
      </c>
      <c r="H75" s="4">
        <v>1</v>
      </c>
    </row>
    <row r="76" spans="1:8" x14ac:dyDescent="0.2">
      <c r="A76" s="2" t="s">
        <v>80</v>
      </c>
      <c r="B76" s="4">
        <v>277</v>
      </c>
      <c r="C76" s="5">
        <v>6.62</v>
      </c>
      <c r="D76" s="4">
        <v>161</v>
      </c>
      <c r="E76" s="5">
        <v>8.82</v>
      </c>
      <c r="F76" s="4">
        <v>115</v>
      </c>
      <c r="G76" s="5">
        <v>4.8899999999999997</v>
      </c>
      <c r="H76" s="4">
        <v>0</v>
      </c>
    </row>
    <row r="77" spans="1:8" x14ac:dyDescent="0.2">
      <c r="A77" s="2" t="s">
        <v>81</v>
      </c>
      <c r="B77" s="4">
        <v>523</v>
      </c>
      <c r="C77" s="5">
        <v>12.49</v>
      </c>
      <c r="D77" s="4">
        <v>445</v>
      </c>
      <c r="E77" s="5">
        <v>24.37</v>
      </c>
      <c r="F77" s="4">
        <v>77</v>
      </c>
      <c r="G77" s="5">
        <v>3.27</v>
      </c>
      <c r="H77" s="4">
        <v>0</v>
      </c>
    </row>
    <row r="78" spans="1:8" x14ac:dyDescent="0.2">
      <c r="A78" s="2" t="s">
        <v>82</v>
      </c>
      <c r="B78" s="4">
        <v>421</v>
      </c>
      <c r="C78" s="5">
        <v>10.06</v>
      </c>
      <c r="D78" s="4">
        <v>308</v>
      </c>
      <c r="E78" s="5">
        <v>16.87</v>
      </c>
      <c r="F78" s="4">
        <v>113</v>
      </c>
      <c r="G78" s="5">
        <v>4.8</v>
      </c>
      <c r="H78" s="4">
        <v>0</v>
      </c>
    </row>
    <row r="79" spans="1:8" x14ac:dyDescent="0.2">
      <c r="A79" s="2" t="s">
        <v>83</v>
      </c>
      <c r="B79" s="4">
        <v>131</v>
      </c>
      <c r="C79" s="5">
        <v>3.13</v>
      </c>
      <c r="D79" s="4">
        <v>95</v>
      </c>
      <c r="E79" s="5">
        <v>5.2</v>
      </c>
      <c r="F79" s="4">
        <v>36</v>
      </c>
      <c r="G79" s="5">
        <v>1.53</v>
      </c>
      <c r="H79" s="4">
        <v>0</v>
      </c>
    </row>
    <row r="80" spans="1:8" x14ac:dyDescent="0.2">
      <c r="A80" s="2" t="s">
        <v>84</v>
      </c>
      <c r="B80" s="4">
        <v>225</v>
      </c>
      <c r="C80" s="5">
        <v>5.38</v>
      </c>
      <c r="D80" s="4">
        <v>139</v>
      </c>
      <c r="E80" s="5">
        <v>7.61</v>
      </c>
      <c r="F80" s="4">
        <v>84</v>
      </c>
      <c r="G80" s="5">
        <v>3.57</v>
      </c>
      <c r="H80" s="4">
        <v>2</v>
      </c>
    </row>
    <row r="81" spans="1:8" x14ac:dyDescent="0.2">
      <c r="A81" s="2" t="s">
        <v>85</v>
      </c>
      <c r="B81" s="4">
        <v>137</v>
      </c>
      <c r="C81" s="5">
        <v>3.27</v>
      </c>
      <c r="D81" s="4">
        <v>37</v>
      </c>
      <c r="E81" s="5">
        <v>2.0299999999999998</v>
      </c>
      <c r="F81" s="4">
        <v>99</v>
      </c>
      <c r="G81" s="5">
        <v>4.21</v>
      </c>
      <c r="H81" s="4">
        <v>0</v>
      </c>
    </row>
    <row r="82" spans="1:8" x14ac:dyDescent="0.2">
      <c r="A82" s="1" t="s">
        <v>5</v>
      </c>
      <c r="B82" s="4">
        <v>4729</v>
      </c>
      <c r="C82" s="5">
        <v>100</v>
      </c>
      <c r="D82" s="4">
        <v>1818</v>
      </c>
      <c r="E82" s="5">
        <v>100.03</v>
      </c>
      <c r="F82" s="4">
        <v>2904</v>
      </c>
      <c r="G82" s="5">
        <v>100</v>
      </c>
      <c r="H82" s="4">
        <v>4</v>
      </c>
    </row>
    <row r="83" spans="1:8" x14ac:dyDescent="0.2">
      <c r="A83" s="2" t="s">
        <v>71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72</v>
      </c>
      <c r="B84" s="4">
        <v>548</v>
      </c>
      <c r="C84" s="5">
        <v>11.59</v>
      </c>
      <c r="D84" s="4">
        <v>71</v>
      </c>
      <c r="E84" s="5">
        <v>3.91</v>
      </c>
      <c r="F84" s="4">
        <v>477</v>
      </c>
      <c r="G84" s="5">
        <v>16.43</v>
      </c>
      <c r="H84" s="4">
        <v>0</v>
      </c>
    </row>
    <row r="85" spans="1:8" x14ac:dyDescent="0.2">
      <c r="A85" s="2" t="s">
        <v>73</v>
      </c>
      <c r="B85" s="4">
        <v>743</v>
      </c>
      <c r="C85" s="5">
        <v>15.71</v>
      </c>
      <c r="D85" s="4">
        <v>195</v>
      </c>
      <c r="E85" s="5">
        <v>10.73</v>
      </c>
      <c r="F85" s="4">
        <v>548</v>
      </c>
      <c r="G85" s="5">
        <v>18.87</v>
      </c>
      <c r="H85" s="4">
        <v>0</v>
      </c>
    </row>
    <row r="86" spans="1:8" x14ac:dyDescent="0.2">
      <c r="A86" s="2" t="s">
        <v>74</v>
      </c>
      <c r="B86" s="4">
        <v>3</v>
      </c>
      <c r="C86" s="5">
        <v>0.06</v>
      </c>
      <c r="D86" s="4">
        <v>0</v>
      </c>
      <c r="E86" s="5">
        <v>0</v>
      </c>
      <c r="F86" s="4">
        <v>3</v>
      </c>
      <c r="G86" s="5">
        <v>0.1</v>
      </c>
      <c r="H86" s="4">
        <v>0</v>
      </c>
    </row>
    <row r="87" spans="1:8" x14ac:dyDescent="0.2">
      <c r="A87" s="2" t="s">
        <v>75</v>
      </c>
      <c r="B87" s="4">
        <v>75</v>
      </c>
      <c r="C87" s="5">
        <v>1.59</v>
      </c>
      <c r="D87" s="4">
        <v>3</v>
      </c>
      <c r="E87" s="5">
        <v>0.17</v>
      </c>
      <c r="F87" s="4">
        <v>72</v>
      </c>
      <c r="G87" s="5">
        <v>2.48</v>
      </c>
      <c r="H87" s="4">
        <v>0</v>
      </c>
    </row>
    <row r="88" spans="1:8" x14ac:dyDescent="0.2">
      <c r="A88" s="2" t="s">
        <v>76</v>
      </c>
      <c r="B88" s="4">
        <v>37</v>
      </c>
      <c r="C88" s="5">
        <v>0.78</v>
      </c>
      <c r="D88" s="4">
        <v>6</v>
      </c>
      <c r="E88" s="5">
        <v>0.33</v>
      </c>
      <c r="F88" s="4">
        <v>31</v>
      </c>
      <c r="G88" s="5">
        <v>1.07</v>
      </c>
      <c r="H88" s="4">
        <v>0</v>
      </c>
    </row>
    <row r="89" spans="1:8" x14ac:dyDescent="0.2">
      <c r="A89" s="2" t="s">
        <v>77</v>
      </c>
      <c r="B89" s="4">
        <v>1033</v>
      </c>
      <c r="C89" s="5">
        <v>21.84</v>
      </c>
      <c r="D89" s="4">
        <v>306</v>
      </c>
      <c r="E89" s="5">
        <v>16.829999999999998</v>
      </c>
      <c r="F89" s="4">
        <v>727</v>
      </c>
      <c r="G89" s="5">
        <v>25.03</v>
      </c>
      <c r="H89" s="4">
        <v>0</v>
      </c>
    </row>
    <row r="90" spans="1:8" x14ac:dyDescent="0.2">
      <c r="A90" s="2" t="s">
        <v>78</v>
      </c>
      <c r="B90" s="4">
        <v>33</v>
      </c>
      <c r="C90" s="5">
        <v>0.7</v>
      </c>
      <c r="D90" s="4">
        <v>4</v>
      </c>
      <c r="E90" s="5">
        <v>0.22</v>
      </c>
      <c r="F90" s="4">
        <v>29</v>
      </c>
      <c r="G90" s="5">
        <v>1</v>
      </c>
      <c r="H90" s="4">
        <v>0</v>
      </c>
    </row>
    <row r="91" spans="1:8" x14ac:dyDescent="0.2">
      <c r="A91" s="2" t="s">
        <v>79</v>
      </c>
      <c r="B91" s="4">
        <v>490</v>
      </c>
      <c r="C91" s="5">
        <v>10.36</v>
      </c>
      <c r="D91" s="4">
        <v>97</v>
      </c>
      <c r="E91" s="5">
        <v>5.34</v>
      </c>
      <c r="F91" s="4">
        <v>393</v>
      </c>
      <c r="G91" s="5">
        <v>13.53</v>
      </c>
      <c r="H91" s="4">
        <v>0</v>
      </c>
    </row>
    <row r="92" spans="1:8" x14ac:dyDescent="0.2">
      <c r="A92" s="2" t="s">
        <v>80</v>
      </c>
      <c r="B92" s="4">
        <v>299</v>
      </c>
      <c r="C92" s="5">
        <v>6.32</v>
      </c>
      <c r="D92" s="4">
        <v>155</v>
      </c>
      <c r="E92" s="5">
        <v>8.5299999999999994</v>
      </c>
      <c r="F92" s="4">
        <v>143</v>
      </c>
      <c r="G92" s="5">
        <v>4.92</v>
      </c>
      <c r="H92" s="4">
        <v>1</v>
      </c>
    </row>
    <row r="93" spans="1:8" x14ac:dyDescent="0.2">
      <c r="A93" s="2" t="s">
        <v>81</v>
      </c>
      <c r="B93" s="4">
        <v>547</v>
      </c>
      <c r="C93" s="5">
        <v>11.57</v>
      </c>
      <c r="D93" s="4">
        <v>440</v>
      </c>
      <c r="E93" s="5">
        <v>24.2</v>
      </c>
      <c r="F93" s="4">
        <v>105</v>
      </c>
      <c r="G93" s="5">
        <v>3.62</v>
      </c>
      <c r="H93" s="4">
        <v>0</v>
      </c>
    </row>
    <row r="94" spans="1:8" x14ac:dyDescent="0.2">
      <c r="A94" s="2" t="s">
        <v>82</v>
      </c>
      <c r="B94" s="4">
        <v>408</v>
      </c>
      <c r="C94" s="5">
        <v>8.6300000000000008</v>
      </c>
      <c r="D94" s="4">
        <v>279</v>
      </c>
      <c r="E94" s="5">
        <v>15.35</v>
      </c>
      <c r="F94" s="4">
        <v>129</v>
      </c>
      <c r="G94" s="5">
        <v>4.4400000000000004</v>
      </c>
      <c r="H94" s="4">
        <v>0</v>
      </c>
    </row>
    <row r="95" spans="1:8" x14ac:dyDescent="0.2">
      <c r="A95" s="2" t="s">
        <v>83</v>
      </c>
      <c r="B95" s="4">
        <v>136</v>
      </c>
      <c r="C95" s="5">
        <v>2.88</v>
      </c>
      <c r="D95" s="4">
        <v>84</v>
      </c>
      <c r="E95" s="5">
        <v>4.62</v>
      </c>
      <c r="F95" s="4">
        <v>51</v>
      </c>
      <c r="G95" s="5">
        <v>1.76</v>
      </c>
      <c r="H95" s="4">
        <v>1</v>
      </c>
    </row>
    <row r="96" spans="1:8" x14ac:dyDescent="0.2">
      <c r="A96" s="2" t="s">
        <v>84</v>
      </c>
      <c r="B96" s="4">
        <v>183</v>
      </c>
      <c r="C96" s="5">
        <v>3.87</v>
      </c>
      <c r="D96" s="4">
        <v>117</v>
      </c>
      <c r="E96" s="5">
        <v>6.44</v>
      </c>
      <c r="F96" s="4">
        <v>66</v>
      </c>
      <c r="G96" s="5">
        <v>2.27</v>
      </c>
      <c r="H96" s="4">
        <v>0</v>
      </c>
    </row>
    <row r="97" spans="1:8" x14ac:dyDescent="0.2">
      <c r="A97" s="2" t="s">
        <v>85</v>
      </c>
      <c r="B97" s="4">
        <v>194</v>
      </c>
      <c r="C97" s="5">
        <v>4.0999999999999996</v>
      </c>
      <c r="D97" s="4">
        <v>61</v>
      </c>
      <c r="E97" s="5">
        <v>3.36</v>
      </c>
      <c r="F97" s="4">
        <v>130</v>
      </c>
      <c r="G97" s="5">
        <v>4.4800000000000004</v>
      </c>
      <c r="H97" s="4">
        <v>2</v>
      </c>
    </row>
    <row r="98" spans="1:8" x14ac:dyDescent="0.2">
      <c r="A98" s="1" t="s">
        <v>6</v>
      </c>
      <c r="B98" s="4">
        <v>5244</v>
      </c>
      <c r="C98" s="5">
        <v>100.01000000000002</v>
      </c>
      <c r="D98" s="4">
        <v>1754</v>
      </c>
      <c r="E98" s="5">
        <v>99.999999999999986</v>
      </c>
      <c r="F98" s="4">
        <v>3473</v>
      </c>
      <c r="G98" s="5">
        <v>100.00000000000001</v>
      </c>
      <c r="H98" s="4">
        <v>15</v>
      </c>
    </row>
    <row r="99" spans="1:8" x14ac:dyDescent="0.2">
      <c r="A99" s="2" t="s">
        <v>71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72</v>
      </c>
      <c r="B100" s="4">
        <v>457</v>
      </c>
      <c r="C100" s="5">
        <v>8.7100000000000009</v>
      </c>
      <c r="D100" s="4">
        <v>49</v>
      </c>
      <c r="E100" s="5">
        <v>2.79</v>
      </c>
      <c r="F100" s="4">
        <v>407</v>
      </c>
      <c r="G100" s="5">
        <v>11.72</v>
      </c>
      <c r="H100" s="4">
        <v>1</v>
      </c>
    </row>
    <row r="101" spans="1:8" x14ac:dyDescent="0.2">
      <c r="A101" s="2" t="s">
        <v>73</v>
      </c>
      <c r="B101" s="4">
        <v>355</v>
      </c>
      <c r="C101" s="5">
        <v>6.77</v>
      </c>
      <c r="D101" s="4">
        <v>108</v>
      </c>
      <c r="E101" s="5">
        <v>6.16</v>
      </c>
      <c r="F101" s="4">
        <v>247</v>
      </c>
      <c r="G101" s="5">
        <v>7.11</v>
      </c>
      <c r="H101" s="4">
        <v>0</v>
      </c>
    </row>
    <row r="102" spans="1:8" x14ac:dyDescent="0.2">
      <c r="A102" s="2" t="s">
        <v>74</v>
      </c>
      <c r="B102" s="4">
        <v>4</v>
      </c>
      <c r="C102" s="5">
        <v>0.08</v>
      </c>
      <c r="D102" s="4">
        <v>0</v>
      </c>
      <c r="E102" s="5">
        <v>0</v>
      </c>
      <c r="F102" s="4">
        <v>4</v>
      </c>
      <c r="G102" s="5">
        <v>0.12</v>
      </c>
      <c r="H102" s="4">
        <v>0</v>
      </c>
    </row>
    <row r="103" spans="1:8" x14ac:dyDescent="0.2">
      <c r="A103" s="2" t="s">
        <v>75</v>
      </c>
      <c r="B103" s="4">
        <v>145</v>
      </c>
      <c r="C103" s="5">
        <v>2.77</v>
      </c>
      <c r="D103" s="4">
        <v>2</v>
      </c>
      <c r="E103" s="5">
        <v>0.11</v>
      </c>
      <c r="F103" s="4">
        <v>143</v>
      </c>
      <c r="G103" s="5">
        <v>4.12</v>
      </c>
      <c r="H103" s="4">
        <v>0</v>
      </c>
    </row>
    <row r="104" spans="1:8" x14ac:dyDescent="0.2">
      <c r="A104" s="2" t="s">
        <v>76</v>
      </c>
      <c r="B104" s="4">
        <v>62</v>
      </c>
      <c r="C104" s="5">
        <v>1.18</v>
      </c>
      <c r="D104" s="4">
        <v>10</v>
      </c>
      <c r="E104" s="5">
        <v>0.56999999999999995</v>
      </c>
      <c r="F104" s="4">
        <v>52</v>
      </c>
      <c r="G104" s="5">
        <v>1.5</v>
      </c>
      <c r="H104" s="4">
        <v>0</v>
      </c>
    </row>
    <row r="105" spans="1:8" x14ac:dyDescent="0.2">
      <c r="A105" s="2" t="s">
        <v>77</v>
      </c>
      <c r="B105" s="4">
        <v>1379</v>
      </c>
      <c r="C105" s="5">
        <v>26.3</v>
      </c>
      <c r="D105" s="4">
        <v>337</v>
      </c>
      <c r="E105" s="5">
        <v>19.21</v>
      </c>
      <c r="F105" s="4">
        <v>1042</v>
      </c>
      <c r="G105" s="5">
        <v>30</v>
      </c>
      <c r="H105" s="4">
        <v>0</v>
      </c>
    </row>
    <row r="106" spans="1:8" x14ac:dyDescent="0.2">
      <c r="A106" s="2" t="s">
        <v>78</v>
      </c>
      <c r="B106" s="4">
        <v>47</v>
      </c>
      <c r="C106" s="5">
        <v>0.9</v>
      </c>
      <c r="D106" s="4">
        <v>5</v>
      </c>
      <c r="E106" s="5">
        <v>0.28999999999999998</v>
      </c>
      <c r="F106" s="4">
        <v>42</v>
      </c>
      <c r="G106" s="5">
        <v>1.21</v>
      </c>
      <c r="H106" s="4">
        <v>0</v>
      </c>
    </row>
    <row r="107" spans="1:8" x14ac:dyDescent="0.2">
      <c r="A107" s="2" t="s">
        <v>79</v>
      </c>
      <c r="B107" s="4">
        <v>574</v>
      </c>
      <c r="C107" s="5">
        <v>10.95</v>
      </c>
      <c r="D107" s="4">
        <v>77</v>
      </c>
      <c r="E107" s="5">
        <v>4.3899999999999997</v>
      </c>
      <c r="F107" s="4">
        <v>494</v>
      </c>
      <c r="G107" s="5">
        <v>14.22</v>
      </c>
      <c r="H107" s="4">
        <v>3</v>
      </c>
    </row>
    <row r="108" spans="1:8" x14ac:dyDescent="0.2">
      <c r="A108" s="2" t="s">
        <v>80</v>
      </c>
      <c r="B108" s="4">
        <v>458</v>
      </c>
      <c r="C108" s="5">
        <v>8.73</v>
      </c>
      <c r="D108" s="4">
        <v>198</v>
      </c>
      <c r="E108" s="5">
        <v>11.29</v>
      </c>
      <c r="F108" s="4">
        <v>259</v>
      </c>
      <c r="G108" s="5">
        <v>7.46</v>
      </c>
      <c r="H108" s="4">
        <v>1</v>
      </c>
    </row>
    <row r="109" spans="1:8" x14ac:dyDescent="0.2">
      <c r="A109" s="2" t="s">
        <v>81</v>
      </c>
      <c r="B109" s="4">
        <v>620</v>
      </c>
      <c r="C109" s="5">
        <v>11.82</v>
      </c>
      <c r="D109" s="4">
        <v>422</v>
      </c>
      <c r="E109" s="5">
        <v>24.06</v>
      </c>
      <c r="F109" s="4">
        <v>198</v>
      </c>
      <c r="G109" s="5">
        <v>5.7</v>
      </c>
      <c r="H109" s="4">
        <v>0</v>
      </c>
    </row>
    <row r="110" spans="1:8" x14ac:dyDescent="0.2">
      <c r="A110" s="2" t="s">
        <v>82</v>
      </c>
      <c r="B110" s="4">
        <v>527</v>
      </c>
      <c r="C110" s="5">
        <v>10.050000000000001</v>
      </c>
      <c r="D110" s="4">
        <v>294</v>
      </c>
      <c r="E110" s="5">
        <v>16.760000000000002</v>
      </c>
      <c r="F110" s="4">
        <v>232</v>
      </c>
      <c r="G110" s="5">
        <v>6.68</v>
      </c>
      <c r="H110" s="4">
        <v>1</v>
      </c>
    </row>
    <row r="111" spans="1:8" x14ac:dyDescent="0.2">
      <c r="A111" s="2" t="s">
        <v>83</v>
      </c>
      <c r="B111" s="4">
        <v>158</v>
      </c>
      <c r="C111" s="5">
        <v>3.01</v>
      </c>
      <c r="D111" s="4">
        <v>85</v>
      </c>
      <c r="E111" s="5">
        <v>4.8499999999999996</v>
      </c>
      <c r="F111" s="4">
        <v>67</v>
      </c>
      <c r="G111" s="5">
        <v>1.93</v>
      </c>
      <c r="H111" s="4">
        <v>5</v>
      </c>
    </row>
    <row r="112" spans="1:8" x14ac:dyDescent="0.2">
      <c r="A112" s="2" t="s">
        <v>84</v>
      </c>
      <c r="B112" s="4">
        <v>229</v>
      </c>
      <c r="C112" s="5">
        <v>4.37</v>
      </c>
      <c r="D112" s="4">
        <v>148</v>
      </c>
      <c r="E112" s="5">
        <v>8.44</v>
      </c>
      <c r="F112" s="4">
        <v>81</v>
      </c>
      <c r="G112" s="5">
        <v>2.33</v>
      </c>
      <c r="H112" s="4">
        <v>0</v>
      </c>
    </row>
    <row r="113" spans="1:8" x14ac:dyDescent="0.2">
      <c r="A113" s="2" t="s">
        <v>85</v>
      </c>
      <c r="B113" s="4">
        <v>229</v>
      </c>
      <c r="C113" s="5">
        <v>4.37</v>
      </c>
      <c r="D113" s="4">
        <v>19</v>
      </c>
      <c r="E113" s="5">
        <v>1.08</v>
      </c>
      <c r="F113" s="4">
        <v>205</v>
      </c>
      <c r="G113" s="5">
        <v>5.9</v>
      </c>
      <c r="H113" s="4">
        <v>4</v>
      </c>
    </row>
    <row r="114" spans="1:8" x14ac:dyDescent="0.2">
      <c r="A114" s="1" t="s">
        <v>7</v>
      </c>
      <c r="B114" s="4">
        <v>8953</v>
      </c>
      <c r="C114" s="5">
        <v>100</v>
      </c>
      <c r="D114" s="4">
        <v>2938</v>
      </c>
      <c r="E114" s="5">
        <v>99.989999999999981</v>
      </c>
      <c r="F114" s="4">
        <v>5990</v>
      </c>
      <c r="G114" s="5">
        <v>99.98</v>
      </c>
      <c r="H114" s="4">
        <v>22</v>
      </c>
    </row>
    <row r="115" spans="1:8" x14ac:dyDescent="0.2">
      <c r="A115" s="2" t="s">
        <v>71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72</v>
      </c>
      <c r="B116" s="4">
        <v>378</v>
      </c>
      <c r="C116" s="5">
        <v>4.22</v>
      </c>
      <c r="D116" s="4">
        <v>9</v>
      </c>
      <c r="E116" s="5">
        <v>0.31</v>
      </c>
      <c r="F116" s="4">
        <v>369</v>
      </c>
      <c r="G116" s="5">
        <v>6.16</v>
      </c>
      <c r="H116" s="4">
        <v>0</v>
      </c>
    </row>
    <row r="117" spans="1:8" x14ac:dyDescent="0.2">
      <c r="A117" s="2" t="s">
        <v>73</v>
      </c>
      <c r="B117" s="4">
        <v>345</v>
      </c>
      <c r="C117" s="5">
        <v>3.85</v>
      </c>
      <c r="D117" s="4">
        <v>72</v>
      </c>
      <c r="E117" s="5">
        <v>2.4500000000000002</v>
      </c>
      <c r="F117" s="4">
        <v>273</v>
      </c>
      <c r="G117" s="5">
        <v>4.5599999999999996</v>
      </c>
      <c r="H117" s="4">
        <v>0</v>
      </c>
    </row>
    <row r="118" spans="1:8" x14ac:dyDescent="0.2">
      <c r="A118" s="2" t="s">
        <v>74</v>
      </c>
      <c r="B118" s="4">
        <v>12</v>
      </c>
      <c r="C118" s="5">
        <v>0.13</v>
      </c>
      <c r="D118" s="4">
        <v>0</v>
      </c>
      <c r="E118" s="5">
        <v>0</v>
      </c>
      <c r="F118" s="4">
        <v>12</v>
      </c>
      <c r="G118" s="5">
        <v>0.2</v>
      </c>
      <c r="H118" s="4">
        <v>0</v>
      </c>
    </row>
    <row r="119" spans="1:8" x14ac:dyDescent="0.2">
      <c r="A119" s="2" t="s">
        <v>75</v>
      </c>
      <c r="B119" s="4">
        <v>362</v>
      </c>
      <c r="C119" s="5">
        <v>4.04</v>
      </c>
      <c r="D119" s="4">
        <v>14</v>
      </c>
      <c r="E119" s="5">
        <v>0.48</v>
      </c>
      <c r="F119" s="4">
        <v>347</v>
      </c>
      <c r="G119" s="5">
        <v>5.79</v>
      </c>
      <c r="H119" s="4">
        <v>1</v>
      </c>
    </row>
    <row r="120" spans="1:8" x14ac:dyDescent="0.2">
      <c r="A120" s="2" t="s">
        <v>76</v>
      </c>
      <c r="B120" s="4">
        <v>65</v>
      </c>
      <c r="C120" s="5">
        <v>0.73</v>
      </c>
      <c r="D120" s="4">
        <v>1</v>
      </c>
      <c r="E120" s="5">
        <v>0.03</v>
      </c>
      <c r="F120" s="4">
        <v>63</v>
      </c>
      <c r="G120" s="5">
        <v>1.05</v>
      </c>
      <c r="H120" s="4">
        <v>1</v>
      </c>
    </row>
    <row r="121" spans="1:8" x14ac:dyDescent="0.2">
      <c r="A121" s="2" t="s">
        <v>77</v>
      </c>
      <c r="B121" s="4">
        <v>2264</v>
      </c>
      <c r="C121" s="5">
        <v>25.29</v>
      </c>
      <c r="D121" s="4">
        <v>395</v>
      </c>
      <c r="E121" s="5">
        <v>13.44</v>
      </c>
      <c r="F121" s="4">
        <v>1866</v>
      </c>
      <c r="G121" s="5">
        <v>31.15</v>
      </c>
      <c r="H121" s="4">
        <v>3</v>
      </c>
    </row>
    <row r="122" spans="1:8" x14ac:dyDescent="0.2">
      <c r="A122" s="2" t="s">
        <v>78</v>
      </c>
      <c r="B122" s="4">
        <v>124</v>
      </c>
      <c r="C122" s="5">
        <v>1.39</v>
      </c>
      <c r="D122" s="4">
        <v>0</v>
      </c>
      <c r="E122" s="5">
        <v>0</v>
      </c>
      <c r="F122" s="4">
        <v>123</v>
      </c>
      <c r="G122" s="5">
        <v>2.0499999999999998</v>
      </c>
      <c r="H122" s="4">
        <v>1</v>
      </c>
    </row>
    <row r="123" spans="1:8" x14ac:dyDescent="0.2">
      <c r="A123" s="2" t="s">
        <v>79</v>
      </c>
      <c r="B123" s="4">
        <v>991</v>
      </c>
      <c r="C123" s="5">
        <v>11.07</v>
      </c>
      <c r="D123" s="4">
        <v>63</v>
      </c>
      <c r="E123" s="5">
        <v>2.14</v>
      </c>
      <c r="F123" s="4">
        <v>926</v>
      </c>
      <c r="G123" s="5">
        <v>15.46</v>
      </c>
      <c r="H123" s="4">
        <v>2</v>
      </c>
    </row>
    <row r="124" spans="1:8" x14ac:dyDescent="0.2">
      <c r="A124" s="2" t="s">
        <v>80</v>
      </c>
      <c r="B124" s="4">
        <v>1282</v>
      </c>
      <c r="C124" s="5">
        <v>14.32</v>
      </c>
      <c r="D124" s="4">
        <v>638</v>
      </c>
      <c r="E124" s="5">
        <v>21.72</v>
      </c>
      <c r="F124" s="4">
        <v>640</v>
      </c>
      <c r="G124" s="5">
        <v>10.68</v>
      </c>
      <c r="H124" s="4">
        <v>4</v>
      </c>
    </row>
    <row r="125" spans="1:8" x14ac:dyDescent="0.2">
      <c r="A125" s="2" t="s">
        <v>81</v>
      </c>
      <c r="B125" s="4">
        <v>1653</v>
      </c>
      <c r="C125" s="5">
        <v>18.46</v>
      </c>
      <c r="D125" s="4">
        <v>1158</v>
      </c>
      <c r="E125" s="5">
        <v>39.409999999999997</v>
      </c>
      <c r="F125" s="4">
        <v>495</v>
      </c>
      <c r="G125" s="5">
        <v>8.26</v>
      </c>
      <c r="H125" s="4">
        <v>0</v>
      </c>
    </row>
    <row r="126" spans="1:8" x14ac:dyDescent="0.2">
      <c r="A126" s="2" t="s">
        <v>82</v>
      </c>
      <c r="B126" s="4">
        <v>656</v>
      </c>
      <c r="C126" s="5">
        <v>7.33</v>
      </c>
      <c r="D126" s="4">
        <v>304</v>
      </c>
      <c r="E126" s="5">
        <v>10.35</v>
      </c>
      <c r="F126" s="4">
        <v>351</v>
      </c>
      <c r="G126" s="5">
        <v>5.86</v>
      </c>
      <c r="H126" s="4">
        <v>1</v>
      </c>
    </row>
    <row r="127" spans="1:8" x14ac:dyDescent="0.2">
      <c r="A127" s="2" t="s">
        <v>83</v>
      </c>
      <c r="B127" s="4">
        <v>224</v>
      </c>
      <c r="C127" s="5">
        <v>2.5</v>
      </c>
      <c r="D127" s="4">
        <v>92</v>
      </c>
      <c r="E127" s="5">
        <v>3.13</v>
      </c>
      <c r="F127" s="4">
        <v>127</v>
      </c>
      <c r="G127" s="5">
        <v>2.12</v>
      </c>
      <c r="H127" s="4">
        <v>4</v>
      </c>
    </row>
    <row r="128" spans="1:8" x14ac:dyDescent="0.2">
      <c r="A128" s="2" t="s">
        <v>84</v>
      </c>
      <c r="B128" s="4">
        <v>259</v>
      </c>
      <c r="C128" s="5">
        <v>2.89</v>
      </c>
      <c r="D128" s="4">
        <v>157</v>
      </c>
      <c r="E128" s="5">
        <v>5.34</v>
      </c>
      <c r="F128" s="4">
        <v>102</v>
      </c>
      <c r="G128" s="5">
        <v>1.7</v>
      </c>
      <c r="H128" s="4">
        <v>0</v>
      </c>
    </row>
    <row r="129" spans="1:8" x14ac:dyDescent="0.2">
      <c r="A129" s="2" t="s">
        <v>85</v>
      </c>
      <c r="B129" s="4">
        <v>338</v>
      </c>
      <c r="C129" s="5">
        <v>3.78</v>
      </c>
      <c r="D129" s="4">
        <v>35</v>
      </c>
      <c r="E129" s="5">
        <v>1.19</v>
      </c>
      <c r="F129" s="4">
        <v>296</v>
      </c>
      <c r="G129" s="5">
        <v>4.9400000000000004</v>
      </c>
      <c r="H129" s="4">
        <v>5</v>
      </c>
    </row>
    <row r="130" spans="1:8" x14ac:dyDescent="0.2">
      <c r="A130" s="1" t="s">
        <v>8</v>
      </c>
      <c r="B130" s="4">
        <v>3078</v>
      </c>
      <c r="C130" s="5">
        <v>100</v>
      </c>
      <c r="D130" s="4">
        <v>1307</v>
      </c>
      <c r="E130" s="5">
        <v>99.989999999999981</v>
      </c>
      <c r="F130" s="4">
        <v>1768</v>
      </c>
      <c r="G130" s="5">
        <v>99.99</v>
      </c>
      <c r="H130" s="4">
        <v>2</v>
      </c>
    </row>
    <row r="131" spans="1:8" x14ac:dyDescent="0.2">
      <c r="A131" s="2" t="s">
        <v>71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72</v>
      </c>
      <c r="B132" s="4">
        <v>233</v>
      </c>
      <c r="C132" s="5">
        <v>7.57</v>
      </c>
      <c r="D132" s="4">
        <v>25</v>
      </c>
      <c r="E132" s="5">
        <v>1.91</v>
      </c>
      <c r="F132" s="4">
        <v>208</v>
      </c>
      <c r="G132" s="5">
        <v>11.76</v>
      </c>
      <c r="H132" s="4">
        <v>0</v>
      </c>
    </row>
    <row r="133" spans="1:8" x14ac:dyDescent="0.2">
      <c r="A133" s="2" t="s">
        <v>73</v>
      </c>
      <c r="B133" s="4">
        <v>243</v>
      </c>
      <c r="C133" s="5">
        <v>7.89</v>
      </c>
      <c r="D133" s="4">
        <v>59</v>
      </c>
      <c r="E133" s="5">
        <v>4.51</v>
      </c>
      <c r="F133" s="4">
        <v>184</v>
      </c>
      <c r="G133" s="5">
        <v>10.41</v>
      </c>
      <c r="H133" s="4">
        <v>0</v>
      </c>
    </row>
    <row r="134" spans="1:8" x14ac:dyDescent="0.2">
      <c r="A134" s="2" t="s">
        <v>74</v>
      </c>
      <c r="B134" s="4">
        <v>6</v>
      </c>
      <c r="C134" s="5">
        <v>0.19</v>
      </c>
      <c r="D134" s="4">
        <v>0</v>
      </c>
      <c r="E134" s="5">
        <v>0</v>
      </c>
      <c r="F134" s="4">
        <v>6</v>
      </c>
      <c r="G134" s="5">
        <v>0.34</v>
      </c>
      <c r="H134" s="4">
        <v>0</v>
      </c>
    </row>
    <row r="135" spans="1:8" x14ac:dyDescent="0.2">
      <c r="A135" s="2" t="s">
        <v>75</v>
      </c>
      <c r="B135" s="4">
        <v>39</v>
      </c>
      <c r="C135" s="5">
        <v>1.27</v>
      </c>
      <c r="D135" s="4">
        <v>5</v>
      </c>
      <c r="E135" s="5">
        <v>0.38</v>
      </c>
      <c r="F135" s="4">
        <v>34</v>
      </c>
      <c r="G135" s="5">
        <v>1.92</v>
      </c>
      <c r="H135" s="4">
        <v>0</v>
      </c>
    </row>
    <row r="136" spans="1:8" x14ac:dyDescent="0.2">
      <c r="A136" s="2" t="s">
        <v>76</v>
      </c>
      <c r="B136" s="4">
        <v>7</v>
      </c>
      <c r="C136" s="5">
        <v>0.23</v>
      </c>
      <c r="D136" s="4">
        <v>1</v>
      </c>
      <c r="E136" s="5">
        <v>0.08</v>
      </c>
      <c r="F136" s="4">
        <v>6</v>
      </c>
      <c r="G136" s="5">
        <v>0.34</v>
      </c>
      <c r="H136" s="4">
        <v>0</v>
      </c>
    </row>
    <row r="137" spans="1:8" x14ac:dyDescent="0.2">
      <c r="A137" s="2" t="s">
        <v>77</v>
      </c>
      <c r="B137" s="4">
        <v>638</v>
      </c>
      <c r="C137" s="5">
        <v>20.73</v>
      </c>
      <c r="D137" s="4">
        <v>238</v>
      </c>
      <c r="E137" s="5">
        <v>18.21</v>
      </c>
      <c r="F137" s="4">
        <v>400</v>
      </c>
      <c r="G137" s="5">
        <v>22.62</v>
      </c>
      <c r="H137" s="4">
        <v>0</v>
      </c>
    </row>
    <row r="138" spans="1:8" x14ac:dyDescent="0.2">
      <c r="A138" s="2" t="s">
        <v>78</v>
      </c>
      <c r="B138" s="4">
        <v>20</v>
      </c>
      <c r="C138" s="5">
        <v>0.65</v>
      </c>
      <c r="D138" s="4">
        <v>1</v>
      </c>
      <c r="E138" s="5">
        <v>0.08</v>
      </c>
      <c r="F138" s="4">
        <v>19</v>
      </c>
      <c r="G138" s="5">
        <v>1.07</v>
      </c>
      <c r="H138" s="4">
        <v>0</v>
      </c>
    </row>
    <row r="139" spans="1:8" x14ac:dyDescent="0.2">
      <c r="A139" s="2" t="s">
        <v>79</v>
      </c>
      <c r="B139" s="4">
        <v>584</v>
      </c>
      <c r="C139" s="5">
        <v>18.97</v>
      </c>
      <c r="D139" s="4">
        <v>168</v>
      </c>
      <c r="E139" s="5">
        <v>12.85</v>
      </c>
      <c r="F139" s="4">
        <v>415</v>
      </c>
      <c r="G139" s="5">
        <v>23.47</v>
      </c>
      <c r="H139" s="4">
        <v>1</v>
      </c>
    </row>
    <row r="140" spans="1:8" x14ac:dyDescent="0.2">
      <c r="A140" s="2" t="s">
        <v>80</v>
      </c>
      <c r="B140" s="4">
        <v>257</v>
      </c>
      <c r="C140" s="5">
        <v>8.35</v>
      </c>
      <c r="D140" s="4">
        <v>127</v>
      </c>
      <c r="E140" s="5">
        <v>9.7200000000000006</v>
      </c>
      <c r="F140" s="4">
        <v>129</v>
      </c>
      <c r="G140" s="5">
        <v>7.3</v>
      </c>
      <c r="H140" s="4">
        <v>1</v>
      </c>
    </row>
    <row r="141" spans="1:8" x14ac:dyDescent="0.2">
      <c r="A141" s="2" t="s">
        <v>81</v>
      </c>
      <c r="B141" s="4">
        <v>374</v>
      </c>
      <c r="C141" s="5">
        <v>12.15</v>
      </c>
      <c r="D141" s="4">
        <v>269</v>
      </c>
      <c r="E141" s="5">
        <v>20.58</v>
      </c>
      <c r="F141" s="4">
        <v>104</v>
      </c>
      <c r="G141" s="5">
        <v>5.88</v>
      </c>
      <c r="H141" s="4">
        <v>0</v>
      </c>
    </row>
    <row r="142" spans="1:8" x14ac:dyDescent="0.2">
      <c r="A142" s="2" t="s">
        <v>82</v>
      </c>
      <c r="B142" s="4">
        <v>334</v>
      </c>
      <c r="C142" s="5">
        <v>10.85</v>
      </c>
      <c r="D142" s="4">
        <v>228</v>
      </c>
      <c r="E142" s="5">
        <v>17.440000000000001</v>
      </c>
      <c r="F142" s="4">
        <v>106</v>
      </c>
      <c r="G142" s="5">
        <v>6</v>
      </c>
      <c r="H142" s="4">
        <v>0</v>
      </c>
    </row>
    <row r="143" spans="1:8" x14ac:dyDescent="0.2">
      <c r="A143" s="2" t="s">
        <v>83</v>
      </c>
      <c r="B143" s="4">
        <v>124</v>
      </c>
      <c r="C143" s="5">
        <v>4.03</v>
      </c>
      <c r="D143" s="4">
        <v>76</v>
      </c>
      <c r="E143" s="5">
        <v>5.81</v>
      </c>
      <c r="F143" s="4">
        <v>48</v>
      </c>
      <c r="G143" s="5">
        <v>2.71</v>
      </c>
      <c r="H143" s="4">
        <v>0</v>
      </c>
    </row>
    <row r="144" spans="1:8" x14ac:dyDescent="0.2">
      <c r="A144" s="2" t="s">
        <v>84</v>
      </c>
      <c r="B144" s="4">
        <v>152</v>
      </c>
      <c r="C144" s="5">
        <v>4.9400000000000004</v>
      </c>
      <c r="D144" s="4">
        <v>96</v>
      </c>
      <c r="E144" s="5">
        <v>7.35</v>
      </c>
      <c r="F144" s="4">
        <v>56</v>
      </c>
      <c r="G144" s="5">
        <v>3.17</v>
      </c>
      <c r="H144" s="4">
        <v>0</v>
      </c>
    </row>
    <row r="145" spans="1:8" x14ac:dyDescent="0.2">
      <c r="A145" s="2" t="s">
        <v>85</v>
      </c>
      <c r="B145" s="4">
        <v>67</v>
      </c>
      <c r="C145" s="5">
        <v>2.1800000000000002</v>
      </c>
      <c r="D145" s="4">
        <v>14</v>
      </c>
      <c r="E145" s="5">
        <v>1.07</v>
      </c>
      <c r="F145" s="4">
        <v>53</v>
      </c>
      <c r="G145" s="5">
        <v>3</v>
      </c>
      <c r="H145" s="4">
        <v>0</v>
      </c>
    </row>
    <row r="146" spans="1:8" x14ac:dyDescent="0.2">
      <c r="A146" s="1" t="s">
        <v>9</v>
      </c>
      <c r="B146" s="4">
        <v>2570</v>
      </c>
      <c r="C146" s="5">
        <v>99.999999999999986</v>
      </c>
      <c r="D146" s="4">
        <v>1130</v>
      </c>
      <c r="E146" s="5">
        <v>100</v>
      </c>
      <c r="F146" s="4">
        <v>1440</v>
      </c>
      <c r="G146" s="5">
        <v>100.01</v>
      </c>
      <c r="H146" s="4">
        <v>0</v>
      </c>
    </row>
    <row r="147" spans="1:8" x14ac:dyDescent="0.2">
      <c r="A147" s="2" t="s">
        <v>71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72</v>
      </c>
      <c r="B148" s="4">
        <v>237</v>
      </c>
      <c r="C148" s="5">
        <v>9.2200000000000006</v>
      </c>
      <c r="D148" s="4">
        <v>34</v>
      </c>
      <c r="E148" s="5">
        <v>3.01</v>
      </c>
      <c r="F148" s="4">
        <v>203</v>
      </c>
      <c r="G148" s="5">
        <v>14.1</v>
      </c>
      <c r="H148" s="4">
        <v>0</v>
      </c>
    </row>
    <row r="149" spans="1:8" x14ac:dyDescent="0.2">
      <c r="A149" s="2" t="s">
        <v>73</v>
      </c>
      <c r="B149" s="4">
        <v>186</v>
      </c>
      <c r="C149" s="5">
        <v>7.24</v>
      </c>
      <c r="D149" s="4">
        <v>51</v>
      </c>
      <c r="E149" s="5">
        <v>4.51</v>
      </c>
      <c r="F149" s="4">
        <v>135</v>
      </c>
      <c r="G149" s="5">
        <v>9.3800000000000008</v>
      </c>
      <c r="H149" s="4">
        <v>0</v>
      </c>
    </row>
    <row r="150" spans="1:8" x14ac:dyDescent="0.2">
      <c r="A150" s="2" t="s">
        <v>74</v>
      </c>
      <c r="B150" s="4">
        <v>2</v>
      </c>
      <c r="C150" s="5">
        <v>0.08</v>
      </c>
      <c r="D150" s="4">
        <v>0</v>
      </c>
      <c r="E150" s="5">
        <v>0</v>
      </c>
      <c r="F150" s="4">
        <v>2</v>
      </c>
      <c r="G150" s="5">
        <v>0.14000000000000001</v>
      </c>
      <c r="H150" s="4">
        <v>0</v>
      </c>
    </row>
    <row r="151" spans="1:8" x14ac:dyDescent="0.2">
      <c r="A151" s="2" t="s">
        <v>75</v>
      </c>
      <c r="B151" s="4">
        <v>25</v>
      </c>
      <c r="C151" s="5">
        <v>0.97</v>
      </c>
      <c r="D151" s="4">
        <v>1</v>
      </c>
      <c r="E151" s="5">
        <v>0.09</v>
      </c>
      <c r="F151" s="4">
        <v>24</v>
      </c>
      <c r="G151" s="5">
        <v>1.67</v>
      </c>
      <c r="H151" s="4">
        <v>0</v>
      </c>
    </row>
    <row r="152" spans="1:8" x14ac:dyDescent="0.2">
      <c r="A152" s="2" t="s">
        <v>76</v>
      </c>
      <c r="B152" s="4">
        <v>16</v>
      </c>
      <c r="C152" s="5">
        <v>0.62</v>
      </c>
      <c r="D152" s="4">
        <v>2</v>
      </c>
      <c r="E152" s="5">
        <v>0.18</v>
      </c>
      <c r="F152" s="4">
        <v>14</v>
      </c>
      <c r="G152" s="5">
        <v>0.97</v>
      </c>
      <c r="H152" s="4">
        <v>0</v>
      </c>
    </row>
    <row r="153" spans="1:8" x14ac:dyDescent="0.2">
      <c r="A153" s="2" t="s">
        <v>77</v>
      </c>
      <c r="B153" s="4">
        <v>499</v>
      </c>
      <c r="C153" s="5">
        <v>19.420000000000002</v>
      </c>
      <c r="D153" s="4">
        <v>172</v>
      </c>
      <c r="E153" s="5">
        <v>15.22</v>
      </c>
      <c r="F153" s="4">
        <v>327</v>
      </c>
      <c r="G153" s="5">
        <v>22.71</v>
      </c>
      <c r="H153" s="4">
        <v>0</v>
      </c>
    </row>
    <row r="154" spans="1:8" x14ac:dyDescent="0.2">
      <c r="A154" s="2" t="s">
        <v>78</v>
      </c>
      <c r="B154" s="4">
        <v>14</v>
      </c>
      <c r="C154" s="5">
        <v>0.54</v>
      </c>
      <c r="D154" s="4">
        <v>0</v>
      </c>
      <c r="E154" s="5">
        <v>0</v>
      </c>
      <c r="F154" s="4">
        <v>14</v>
      </c>
      <c r="G154" s="5">
        <v>0.97</v>
      </c>
      <c r="H154" s="4">
        <v>0</v>
      </c>
    </row>
    <row r="155" spans="1:8" x14ac:dyDescent="0.2">
      <c r="A155" s="2" t="s">
        <v>79</v>
      </c>
      <c r="B155" s="4">
        <v>472</v>
      </c>
      <c r="C155" s="5">
        <v>18.37</v>
      </c>
      <c r="D155" s="4">
        <v>145</v>
      </c>
      <c r="E155" s="5">
        <v>12.83</v>
      </c>
      <c r="F155" s="4">
        <v>327</v>
      </c>
      <c r="G155" s="5">
        <v>22.71</v>
      </c>
      <c r="H155" s="4">
        <v>0</v>
      </c>
    </row>
    <row r="156" spans="1:8" x14ac:dyDescent="0.2">
      <c r="A156" s="2" t="s">
        <v>80</v>
      </c>
      <c r="B156" s="4">
        <v>186</v>
      </c>
      <c r="C156" s="5">
        <v>7.24</v>
      </c>
      <c r="D156" s="4">
        <v>105</v>
      </c>
      <c r="E156" s="5">
        <v>9.2899999999999991</v>
      </c>
      <c r="F156" s="4">
        <v>81</v>
      </c>
      <c r="G156" s="5">
        <v>5.63</v>
      </c>
      <c r="H156" s="4">
        <v>0</v>
      </c>
    </row>
    <row r="157" spans="1:8" x14ac:dyDescent="0.2">
      <c r="A157" s="2" t="s">
        <v>81</v>
      </c>
      <c r="B157" s="4">
        <v>287</v>
      </c>
      <c r="C157" s="5">
        <v>11.17</v>
      </c>
      <c r="D157" s="4">
        <v>231</v>
      </c>
      <c r="E157" s="5">
        <v>20.440000000000001</v>
      </c>
      <c r="F157" s="4">
        <v>56</v>
      </c>
      <c r="G157" s="5">
        <v>3.89</v>
      </c>
      <c r="H157" s="4">
        <v>0</v>
      </c>
    </row>
    <row r="158" spans="1:8" x14ac:dyDescent="0.2">
      <c r="A158" s="2" t="s">
        <v>82</v>
      </c>
      <c r="B158" s="4">
        <v>281</v>
      </c>
      <c r="C158" s="5">
        <v>10.93</v>
      </c>
      <c r="D158" s="4">
        <v>187</v>
      </c>
      <c r="E158" s="5">
        <v>16.55</v>
      </c>
      <c r="F158" s="4">
        <v>94</v>
      </c>
      <c r="G158" s="5">
        <v>6.53</v>
      </c>
      <c r="H158" s="4">
        <v>0</v>
      </c>
    </row>
    <row r="159" spans="1:8" x14ac:dyDescent="0.2">
      <c r="A159" s="2" t="s">
        <v>83</v>
      </c>
      <c r="B159" s="4">
        <v>145</v>
      </c>
      <c r="C159" s="5">
        <v>5.64</v>
      </c>
      <c r="D159" s="4">
        <v>96</v>
      </c>
      <c r="E159" s="5">
        <v>8.5</v>
      </c>
      <c r="F159" s="4">
        <v>49</v>
      </c>
      <c r="G159" s="5">
        <v>3.4</v>
      </c>
      <c r="H159" s="4">
        <v>0</v>
      </c>
    </row>
    <row r="160" spans="1:8" x14ac:dyDescent="0.2">
      <c r="A160" s="2" t="s">
        <v>84</v>
      </c>
      <c r="B160" s="4">
        <v>151</v>
      </c>
      <c r="C160" s="5">
        <v>5.88</v>
      </c>
      <c r="D160" s="4">
        <v>87</v>
      </c>
      <c r="E160" s="5">
        <v>7.7</v>
      </c>
      <c r="F160" s="4">
        <v>64</v>
      </c>
      <c r="G160" s="5">
        <v>4.4400000000000004</v>
      </c>
      <c r="H160" s="4">
        <v>0</v>
      </c>
    </row>
    <row r="161" spans="1:8" x14ac:dyDescent="0.2">
      <c r="A161" s="2" t="s">
        <v>85</v>
      </c>
      <c r="B161" s="4">
        <v>69</v>
      </c>
      <c r="C161" s="5">
        <v>2.68</v>
      </c>
      <c r="D161" s="4">
        <v>19</v>
      </c>
      <c r="E161" s="5">
        <v>1.68</v>
      </c>
      <c r="F161" s="4">
        <v>50</v>
      </c>
      <c r="G161" s="5">
        <v>3.47</v>
      </c>
      <c r="H161" s="4">
        <v>0</v>
      </c>
    </row>
    <row r="162" spans="1:8" x14ac:dyDescent="0.2">
      <c r="A162" s="1" t="s">
        <v>10</v>
      </c>
      <c r="B162" s="4">
        <v>2047</v>
      </c>
      <c r="C162" s="5">
        <v>99.99</v>
      </c>
      <c r="D162" s="4">
        <v>775</v>
      </c>
      <c r="E162" s="5">
        <v>100.00999999999999</v>
      </c>
      <c r="F162" s="4">
        <v>1268</v>
      </c>
      <c r="G162" s="5">
        <v>100.02</v>
      </c>
      <c r="H162" s="4">
        <v>1</v>
      </c>
    </row>
    <row r="163" spans="1:8" x14ac:dyDescent="0.2">
      <c r="A163" s="2" t="s">
        <v>71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72</v>
      </c>
      <c r="B164" s="4">
        <v>180</v>
      </c>
      <c r="C164" s="5">
        <v>8.7899999999999991</v>
      </c>
      <c r="D164" s="4">
        <v>18</v>
      </c>
      <c r="E164" s="5">
        <v>2.3199999999999998</v>
      </c>
      <c r="F164" s="4">
        <v>162</v>
      </c>
      <c r="G164" s="5">
        <v>12.78</v>
      </c>
      <c r="H164" s="4">
        <v>0</v>
      </c>
    </row>
    <row r="165" spans="1:8" x14ac:dyDescent="0.2">
      <c r="A165" s="2" t="s">
        <v>73</v>
      </c>
      <c r="B165" s="4">
        <v>239</v>
      </c>
      <c r="C165" s="5">
        <v>11.68</v>
      </c>
      <c r="D165" s="4">
        <v>55</v>
      </c>
      <c r="E165" s="5">
        <v>7.1</v>
      </c>
      <c r="F165" s="4">
        <v>184</v>
      </c>
      <c r="G165" s="5">
        <v>14.51</v>
      </c>
      <c r="H165" s="4">
        <v>0</v>
      </c>
    </row>
    <row r="166" spans="1:8" x14ac:dyDescent="0.2">
      <c r="A166" s="2" t="s">
        <v>74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2">
      <c r="A167" s="2" t="s">
        <v>75</v>
      </c>
      <c r="B167" s="4">
        <v>23</v>
      </c>
      <c r="C167" s="5">
        <v>1.1200000000000001</v>
      </c>
      <c r="D167" s="4">
        <v>2</v>
      </c>
      <c r="E167" s="5">
        <v>0.26</v>
      </c>
      <c r="F167" s="4">
        <v>21</v>
      </c>
      <c r="G167" s="5">
        <v>1.66</v>
      </c>
      <c r="H167" s="4">
        <v>0</v>
      </c>
    </row>
    <row r="168" spans="1:8" x14ac:dyDescent="0.2">
      <c r="A168" s="2" t="s">
        <v>76</v>
      </c>
      <c r="B168" s="4">
        <v>22</v>
      </c>
      <c r="C168" s="5">
        <v>1.07</v>
      </c>
      <c r="D168" s="4">
        <v>2</v>
      </c>
      <c r="E168" s="5">
        <v>0.26</v>
      </c>
      <c r="F168" s="4">
        <v>20</v>
      </c>
      <c r="G168" s="5">
        <v>1.58</v>
      </c>
      <c r="H168" s="4">
        <v>0</v>
      </c>
    </row>
    <row r="169" spans="1:8" x14ac:dyDescent="0.2">
      <c r="A169" s="2" t="s">
        <v>77</v>
      </c>
      <c r="B169" s="4">
        <v>513</v>
      </c>
      <c r="C169" s="5">
        <v>25.06</v>
      </c>
      <c r="D169" s="4">
        <v>131</v>
      </c>
      <c r="E169" s="5">
        <v>16.899999999999999</v>
      </c>
      <c r="F169" s="4">
        <v>382</v>
      </c>
      <c r="G169" s="5">
        <v>30.13</v>
      </c>
      <c r="H169" s="4">
        <v>0</v>
      </c>
    </row>
    <row r="170" spans="1:8" x14ac:dyDescent="0.2">
      <c r="A170" s="2" t="s">
        <v>78</v>
      </c>
      <c r="B170" s="4">
        <v>20</v>
      </c>
      <c r="C170" s="5">
        <v>0.98</v>
      </c>
      <c r="D170" s="4">
        <v>1</v>
      </c>
      <c r="E170" s="5">
        <v>0.13</v>
      </c>
      <c r="F170" s="4">
        <v>19</v>
      </c>
      <c r="G170" s="5">
        <v>1.5</v>
      </c>
      <c r="H170" s="4">
        <v>0</v>
      </c>
    </row>
    <row r="171" spans="1:8" x14ac:dyDescent="0.2">
      <c r="A171" s="2" t="s">
        <v>79</v>
      </c>
      <c r="B171" s="4">
        <v>241</v>
      </c>
      <c r="C171" s="5">
        <v>11.77</v>
      </c>
      <c r="D171" s="4">
        <v>86</v>
      </c>
      <c r="E171" s="5">
        <v>11.1</v>
      </c>
      <c r="F171" s="4">
        <v>155</v>
      </c>
      <c r="G171" s="5">
        <v>12.22</v>
      </c>
      <c r="H171" s="4">
        <v>0</v>
      </c>
    </row>
    <row r="172" spans="1:8" x14ac:dyDescent="0.2">
      <c r="A172" s="2" t="s">
        <v>80</v>
      </c>
      <c r="B172" s="4">
        <v>135</v>
      </c>
      <c r="C172" s="5">
        <v>6.6</v>
      </c>
      <c r="D172" s="4">
        <v>61</v>
      </c>
      <c r="E172" s="5">
        <v>7.87</v>
      </c>
      <c r="F172" s="4">
        <v>74</v>
      </c>
      <c r="G172" s="5">
        <v>5.84</v>
      </c>
      <c r="H172" s="4">
        <v>0</v>
      </c>
    </row>
    <row r="173" spans="1:8" x14ac:dyDescent="0.2">
      <c r="A173" s="2" t="s">
        <v>81</v>
      </c>
      <c r="B173" s="4">
        <v>276</v>
      </c>
      <c r="C173" s="5">
        <v>13.48</v>
      </c>
      <c r="D173" s="4">
        <v>210</v>
      </c>
      <c r="E173" s="5">
        <v>27.1</v>
      </c>
      <c r="F173" s="4">
        <v>64</v>
      </c>
      <c r="G173" s="5">
        <v>5.05</v>
      </c>
      <c r="H173" s="4">
        <v>0</v>
      </c>
    </row>
    <row r="174" spans="1:8" x14ac:dyDescent="0.2">
      <c r="A174" s="2" t="s">
        <v>82</v>
      </c>
      <c r="B174" s="4">
        <v>184</v>
      </c>
      <c r="C174" s="5">
        <v>8.99</v>
      </c>
      <c r="D174" s="4">
        <v>117</v>
      </c>
      <c r="E174" s="5">
        <v>15.1</v>
      </c>
      <c r="F174" s="4">
        <v>67</v>
      </c>
      <c r="G174" s="5">
        <v>5.28</v>
      </c>
      <c r="H174" s="4">
        <v>0</v>
      </c>
    </row>
    <row r="175" spans="1:8" x14ac:dyDescent="0.2">
      <c r="A175" s="2" t="s">
        <v>83</v>
      </c>
      <c r="B175" s="4">
        <v>49</v>
      </c>
      <c r="C175" s="5">
        <v>2.39</v>
      </c>
      <c r="D175" s="4">
        <v>28</v>
      </c>
      <c r="E175" s="5">
        <v>3.61</v>
      </c>
      <c r="F175" s="4">
        <v>21</v>
      </c>
      <c r="G175" s="5">
        <v>1.66</v>
      </c>
      <c r="H175" s="4">
        <v>0</v>
      </c>
    </row>
    <row r="176" spans="1:8" x14ac:dyDescent="0.2">
      <c r="A176" s="2" t="s">
        <v>84</v>
      </c>
      <c r="B176" s="4">
        <v>98</v>
      </c>
      <c r="C176" s="5">
        <v>4.79</v>
      </c>
      <c r="D176" s="4">
        <v>50</v>
      </c>
      <c r="E176" s="5">
        <v>6.45</v>
      </c>
      <c r="F176" s="4">
        <v>48</v>
      </c>
      <c r="G176" s="5">
        <v>3.79</v>
      </c>
      <c r="H176" s="4">
        <v>0</v>
      </c>
    </row>
    <row r="177" spans="1:8" x14ac:dyDescent="0.2">
      <c r="A177" s="2" t="s">
        <v>85</v>
      </c>
      <c r="B177" s="4">
        <v>67</v>
      </c>
      <c r="C177" s="5">
        <v>3.27</v>
      </c>
      <c r="D177" s="4">
        <v>14</v>
      </c>
      <c r="E177" s="5">
        <v>1.81</v>
      </c>
      <c r="F177" s="4">
        <v>51</v>
      </c>
      <c r="G177" s="5">
        <v>4.0199999999999996</v>
      </c>
      <c r="H177" s="4">
        <v>1</v>
      </c>
    </row>
    <row r="178" spans="1:8" x14ac:dyDescent="0.2">
      <c r="A178" s="1" t="s">
        <v>11</v>
      </c>
      <c r="B178" s="4">
        <v>4659</v>
      </c>
      <c r="C178" s="5">
        <v>100.01</v>
      </c>
      <c r="D178" s="4">
        <v>1870</v>
      </c>
      <c r="E178" s="5">
        <v>100.00999999999999</v>
      </c>
      <c r="F178" s="4">
        <v>2787</v>
      </c>
      <c r="G178" s="5">
        <v>99.99</v>
      </c>
      <c r="H178" s="4">
        <v>2</v>
      </c>
    </row>
    <row r="179" spans="1:8" x14ac:dyDescent="0.2">
      <c r="A179" s="2" t="s">
        <v>71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72</v>
      </c>
      <c r="B180" s="4">
        <v>614</v>
      </c>
      <c r="C180" s="5">
        <v>13.18</v>
      </c>
      <c r="D180" s="4">
        <v>76</v>
      </c>
      <c r="E180" s="5">
        <v>4.0599999999999996</v>
      </c>
      <c r="F180" s="4">
        <v>538</v>
      </c>
      <c r="G180" s="5">
        <v>19.3</v>
      </c>
      <c r="H180" s="4">
        <v>0</v>
      </c>
    </row>
    <row r="181" spans="1:8" x14ac:dyDescent="0.2">
      <c r="A181" s="2" t="s">
        <v>73</v>
      </c>
      <c r="B181" s="4">
        <v>968</v>
      </c>
      <c r="C181" s="5">
        <v>20.78</v>
      </c>
      <c r="D181" s="4">
        <v>272</v>
      </c>
      <c r="E181" s="5">
        <v>14.55</v>
      </c>
      <c r="F181" s="4">
        <v>696</v>
      </c>
      <c r="G181" s="5">
        <v>24.97</v>
      </c>
      <c r="H181" s="4">
        <v>0</v>
      </c>
    </row>
    <row r="182" spans="1:8" x14ac:dyDescent="0.2">
      <c r="A182" s="2" t="s">
        <v>74</v>
      </c>
      <c r="B182" s="4">
        <v>1</v>
      </c>
      <c r="C182" s="5">
        <v>0.02</v>
      </c>
      <c r="D182" s="4">
        <v>0</v>
      </c>
      <c r="E182" s="5">
        <v>0</v>
      </c>
      <c r="F182" s="4">
        <v>1</v>
      </c>
      <c r="G182" s="5">
        <v>0.04</v>
      </c>
      <c r="H182" s="4">
        <v>0</v>
      </c>
    </row>
    <row r="183" spans="1:8" x14ac:dyDescent="0.2">
      <c r="A183" s="2" t="s">
        <v>75</v>
      </c>
      <c r="B183" s="4">
        <v>35</v>
      </c>
      <c r="C183" s="5">
        <v>0.75</v>
      </c>
      <c r="D183" s="4">
        <v>2</v>
      </c>
      <c r="E183" s="5">
        <v>0.11</v>
      </c>
      <c r="F183" s="4">
        <v>33</v>
      </c>
      <c r="G183" s="5">
        <v>1.18</v>
      </c>
      <c r="H183" s="4">
        <v>0</v>
      </c>
    </row>
    <row r="184" spans="1:8" x14ac:dyDescent="0.2">
      <c r="A184" s="2" t="s">
        <v>76</v>
      </c>
      <c r="B184" s="4">
        <v>63</v>
      </c>
      <c r="C184" s="5">
        <v>1.35</v>
      </c>
      <c r="D184" s="4">
        <v>8</v>
      </c>
      <c r="E184" s="5">
        <v>0.43</v>
      </c>
      <c r="F184" s="4">
        <v>55</v>
      </c>
      <c r="G184" s="5">
        <v>1.97</v>
      </c>
      <c r="H184" s="4">
        <v>0</v>
      </c>
    </row>
    <row r="185" spans="1:8" x14ac:dyDescent="0.2">
      <c r="A185" s="2" t="s">
        <v>77</v>
      </c>
      <c r="B185" s="4">
        <v>979</v>
      </c>
      <c r="C185" s="5">
        <v>21.01</v>
      </c>
      <c r="D185" s="4">
        <v>341</v>
      </c>
      <c r="E185" s="5">
        <v>18.239999999999998</v>
      </c>
      <c r="F185" s="4">
        <v>638</v>
      </c>
      <c r="G185" s="5">
        <v>22.89</v>
      </c>
      <c r="H185" s="4">
        <v>0</v>
      </c>
    </row>
    <row r="186" spans="1:8" x14ac:dyDescent="0.2">
      <c r="A186" s="2" t="s">
        <v>78</v>
      </c>
      <c r="B186" s="4">
        <v>24</v>
      </c>
      <c r="C186" s="5">
        <v>0.52</v>
      </c>
      <c r="D186" s="4">
        <v>1</v>
      </c>
      <c r="E186" s="5">
        <v>0.05</v>
      </c>
      <c r="F186" s="4">
        <v>23</v>
      </c>
      <c r="G186" s="5">
        <v>0.83</v>
      </c>
      <c r="H186" s="4">
        <v>0</v>
      </c>
    </row>
    <row r="187" spans="1:8" x14ac:dyDescent="0.2">
      <c r="A187" s="2" t="s">
        <v>79</v>
      </c>
      <c r="B187" s="4">
        <v>298</v>
      </c>
      <c r="C187" s="5">
        <v>6.4</v>
      </c>
      <c r="D187" s="4">
        <v>18</v>
      </c>
      <c r="E187" s="5">
        <v>0.96</v>
      </c>
      <c r="F187" s="4">
        <v>280</v>
      </c>
      <c r="G187" s="5">
        <v>10.050000000000001</v>
      </c>
      <c r="H187" s="4">
        <v>0</v>
      </c>
    </row>
    <row r="188" spans="1:8" x14ac:dyDescent="0.2">
      <c r="A188" s="2" t="s">
        <v>80</v>
      </c>
      <c r="B188" s="4">
        <v>190</v>
      </c>
      <c r="C188" s="5">
        <v>4.08</v>
      </c>
      <c r="D188" s="4">
        <v>100</v>
      </c>
      <c r="E188" s="5">
        <v>5.35</v>
      </c>
      <c r="F188" s="4">
        <v>90</v>
      </c>
      <c r="G188" s="5">
        <v>3.23</v>
      </c>
      <c r="H188" s="4">
        <v>0</v>
      </c>
    </row>
    <row r="189" spans="1:8" x14ac:dyDescent="0.2">
      <c r="A189" s="2" t="s">
        <v>81</v>
      </c>
      <c r="B189" s="4">
        <v>481</v>
      </c>
      <c r="C189" s="5">
        <v>10.32</v>
      </c>
      <c r="D189" s="4">
        <v>411</v>
      </c>
      <c r="E189" s="5">
        <v>21.98</v>
      </c>
      <c r="F189" s="4">
        <v>70</v>
      </c>
      <c r="G189" s="5">
        <v>2.5099999999999998</v>
      </c>
      <c r="H189" s="4">
        <v>0</v>
      </c>
    </row>
    <row r="190" spans="1:8" x14ac:dyDescent="0.2">
      <c r="A190" s="2" t="s">
        <v>82</v>
      </c>
      <c r="B190" s="4">
        <v>478</v>
      </c>
      <c r="C190" s="5">
        <v>10.26</v>
      </c>
      <c r="D190" s="4">
        <v>349</v>
      </c>
      <c r="E190" s="5">
        <v>18.66</v>
      </c>
      <c r="F190" s="4">
        <v>129</v>
      </c>
      <c r="G190" s="5">
        <v>4.63</v>
      </c>
      <c r="H190" s="4">
        <v>0</v>
      </c>
    </row>
    <row r="191" spans="1:8" x14ac:dyDescent="0.2">
      <c r="A191" s="2" t="s">
        <v>83</v>
      </c>
      <c r="B191" s="4">
        <v>134</v>
      </c>
      <c r="C191" s="5">
        <v>2.88</v>
      </c>
      <c r="D191" s="4">
        <v>88</v>
      </c>
      <c r="E191" s="5">
        <v>4.71</v>
      </c>
      <c r="F191" s="4">
        <v>46</v>
      </c>
      <c r="G191" s="5">
        <v>1.65</v>
      </c>
      <c r="H191" s="4">
        <v>0</v>
      </c>
    </row>
    <row r="192" spans="1:8" x14ac:dyDescent="0.2">
      <c r="A192" s="2" t="s">
        <v>84</v>
      </c>
      <c r="B192" s="4">
        <v>211</v>
      </c>
      <c r="C192" s="5">
        <v>4.53</v>
      </c>
      <c r="D192" s="4">
        <v>137</v>
      </c>
      <c r="E192" s="5">
        <v>7.33</v>
      </c>
      <c r="F192" s="4">
        <v>72</v>
      </c>
      <c r="G192" s="5">
        <v>2.58</v>
      </c>
      <c r="H192" s="4">
        <v>2</v>
      </c>
    </row>
    <row r="193" spans="1:8" x14ac:dyDescent="0.2">
      <c r="A193" s="2" t="s">
        <v>85</v>
      </c>
      <c r="B193" s="4">
        <v>183</v>
      </c>
      <c r="C193" s="5">
        <v>3.93</v>
      </c>
      <c r="D193" s="4">
        <v>67</v>
      </c>
      <c r="E193" s="5">
        <v>3.58</v>
      </c>
      <c r="F193" s="4">
        <v>116</v>
      </c>
      <c r="G193" s="5">
        <v>4.16</v>
      </c>
      <c r="H193" s="4">
        <v>0</v>
      </c>
    </row>
    <row r="194" spans="1:8" x14ac:dyDescent="0.2">
      <c r="A194" s="1" t="s">
        <v>12</v>
      </c>
      <c r="B194" s="4">
        <v>3120</v>
      </c>
      <c r="C194" s="5">
        <v>99.99</v>
      </c>
      <c r="D194" s="4">
        <v>1044</v>
      </c>
      <c r="E194" s="5">
        <v>100.01</v>
      </c>
      <c r="F194" s="4">
        <v>2069</v>
      </c>
      <c r="G194" s="5">
        <v>99.980000000000018</v>
      </c>
      <c r="H194" s="4">
        <v>1</v>
      </c>
    </row>
    <row r="195" spans="1:8" x14ac:dyDescent="0.2">
      <c r="A195" s="2" t="s">
        <v>71</v>
      </c>
      <c r="B195" s="4">
        <v>2</v>
      </c>
      <c r="C195" s="5">
        <v>0.06</v>
      </c>
      <c r="D195" s="4">
        <v>0</v>
      </c>
      <c r="E195" s="5">
        <v>0</v>
      </c>
      <c r="F195" s="4">
        <v>2</v>
      </c>
      <c r="G195" s="5">
        <v>0.1</v>
      </c>
      <c r="H195" s="4">
        <v>0</v>
      </c>
    </row>
    <row r="196" spans="1:8" x14ac:dyDescent="0.2">
      <c r="A196" s="2" t="s">
        <v>72</v>
      </c>
      <c r="B196" s="4">
        <v>422</v>
      </c>
      <c r="C196" s="5">
        <v>13.53</v>
      </c>
      <c r="D196" s="4">
        <v>52</v>
      </c>
      <c r="E196" s="5">
        <v>4.9800000000000004</v>
      </c>
      <c r="F196" s="4">
        <v>370</v>
      </c>
      <c r="G196" s="5">
        <v>17.88</v>
      </c>
      <c r="H196" s="4">
        <v>0</v>
      </c>
    </row>
    <row r="197" spans="1:8" x14ac:dyDescent="0.2">
      <c r="A197" s="2" t="s">
        <v>73</v>
      </c>
      <c r="B197" s="4">
        <v>623</v>
      </c>
      <c r="C197" s="5">
        <v>19.97</v>
      </c>
      <c r="D197" s="4">
        <v>116</v>
      </c>
      <c r="E197" s="5">
        <v>11.11</v>
      </c>
      <c r="F197" s="4">
        <v>507</v>
      </c>
      <c r="G197" s="5">
        <v>24.5</v>
      </c>
      <c r="H197" s="4">
        <v>0</v>
      </c>
    </row>
    <row r="198" spans="1:8" x14ac:dyDescent="0.2">
      <c r="A198" s="2" t="s">
        <v>74</v>
      </c>
      <c r="B198" s="4">
        <v>7</v>
      </c>
      <c r="C198" s="5">
        <v>0.22</v>
      </c>
      <c r="D198" s="4">
        <v>0</v>
      </c>
      <c r="E198" s="5">
        <v>0</v>
      </c>
      <c r="F198" s="4">
        <v>7</v>
      </c>
      <c r="G198" s="5">
        <v>0.34</v>
      </c>
      <c r="H198" s="4">
        <v>0</v>
      </c>
    </row>
    <row r="199" spans="1:8" x14ac:dyDescent="0.2">
      <c r="A199" s="2" t="s">
        <v>75</v>
      </c>
      <c r="B199" s="4">
        <v>17</v>
      </c>
      <c r="C199" s="5">
        <v>0.54</v>
      </c>
      <c r="D199" s="4">
        <v>0</v>
      </c>
      <c r="E199" s="5">
        <v>0</v>
      </c>
      <c r="F199" s="4">
        <v>17</v>
      </c>
      <c r="G199" s="5">
        <v>0.82</v>
      </c>
      <c r="H199" s="4">
        <v>0</v>
      </c>
    </row>
    <row r="200" spans="1:8" x14ac:dyDescent="0.2">
      <c r="A200" s="2" t="s">
        <v>76</v>
      </c>
      <c r="B200" s="4">
        <v>126</v>
      </c>
      <c r="C200" s="5">
        <v>4.04</v>
      </c>
      <c r="D200" s="4">
        <v>3</v>
      </c>
      <c r="E200" s="5">
        <v>0.28999999999999998</v>
      </c>
      <c r="F200" s="4">
        <v>123</v>
      </c>
      <c r="G200" s="5">
        <v>5.94</v>
      </c>
      <c r="H200" s="4">
        <v>0</v>
      </c>
    </row>
    <row r="201" spans="1:8" x14ac:dyDescent="0.2">
      <c r="A201" s="2" t="s">
        <v>77</v>
      </c>
      <c r="B201" s="4">
        <v>627</v>
      </c>
      <c r="C201" s="5">
        <v>20.100000000000001</v>
      </c>
      <c r="D201" s="4">
        <v>168</v>
      </c>
      <c r="E201" s="5">
        <v>16.09</v>
      </c>
      <c r="F201" s="4">
        <v>459</v>
      </c>
      <c r="G201" s="5">
        <v>22.18</v>
      </c>
      <c r="H201" s="4">
        <v>0</v>
      </c>
    </row>
    <row r="202" spans="1:8" x14ac:dyDescent="0.2">
      <c r="A202" s="2" t="s">
        <v>78</v>
      </c>
      <c r="B202" s="4">
        <v>17</v>
      </c>
      <c r="C202" s="5">
        <v>0.54</v>
      </c>
      <c r="D202" s="4">
        <v>3</v>
      </c>
      <c r="E202" s="5">
        <v>0.28999999999999998</v>
      </c>
      <c r="F202" s="4">
        <v>14</v>
      </c>
      <c r="G202" s="5">
        <v>0.68</v>
      </c>
      <c r="H202" s="4">
        <v>0</v>
      </c>
    </row>
    <row r="203" spans="1:8" x14ac:dyDescent="0.2">
      <c r="A203" s="2" t="s">
        <v>79</v>
      </c>
      <c r="B203" s="4">
        <v>186</v>
      </c>
      <c r="C203" s="5">
        <v>5.96</v>
      </c>
      <c r="D203" s="4">
        <v>17</v>
      </c>
      <c r="E203" s="5">
        <v>1.63</v>
      </c>
      <c r="F203" s="4">
        <v>167</v>
      </c>
      <c r="G203" s="5">
        <v>8.07</v>
      </c>
      <c r="H203" s="4">
        <v>1</v>
      </c>
    </row>
    <row r="204" spans="1:8" x14ac:dyDescent="0.2">
      <c r="A204" s="2" t="s">
        <v>80</v>
      </c>
      <c r="B204" s="4">
        <v>94</v>
      </c>
      <c r="C204" s="5">
        <v>3.01</v>
      </c>
      <c r="D204" s="4">
        <v>34</v>
      </c>
      <c r="E204" s="5">
        <v>3.26</v>
      </c>
      <c r="F204" s="4">
        <v>59</v>
      </c>
      <c r="G204" s="5">
        <v>2.85</v>
      </c>
      <c r="H204" s="4">
        <v>0</v>
      </c>
    </row>
    <row r="205" spans="1:8" x14ac:dyDescent="0.2">
      <c r="A205" s="2" t="s">
        <v>81</v>
      </c>
      <c r="B205" s="4">
        <v>361</v>
      </c>
      <c r="C205" s="5">
        <v>11.57</v>
      </c>
      <c r="D205" s="4">
        <v>287</v>
      </c>
      <c r="E205" s="5">
        <v>27.49</v>
      </c>
      <c r="F205" s="4">
        <v>73</v>
      </c>
      <c r="G205" s="5">
        <v>3.53</v>
      </c>
      <c r="H205" s="4">
        <v>0</v>
      </c>
    </row>
    <row r="206" spans="1:8" x14ac:dyDescent="0.2">
      <c r="A206" s="2" t="s">
        <v>82</v>
      </c>
      <c r="B206" s="4">
        <v>303</v>
      </c>
      <c r="C206" s="5">
        <v>9.7100000000000009</v>
      </c>
      <c r="D206" s="4">
        <v>197</v>
      </c>
      <c r="E206" s="5">
        <v>18.87</v>
      </c>
      <c r="F206" s="4">
        <v>105</v>
      </c>
      <c r="G206" s="5">
        <v>5.07</v>
      </c>
      <c r="H206" s="4">
        <v>0</v>
      </c>
    </row>
    <row r="207" spans="1:8" x14ac:dyDescent="0.2">
      <c r="A207" s="2" t="s">
        <v>83</v>
      </c>
      <c r="B207" s="4">
        <v>78</v>
      </c>
      <c r="C207" s="5">
        <v>2.5</v>
      </c>
      <c r="D207" s="4">
        <v>51</v>
      </c>
      <c r="E207" s="5">
        <v>4.8899999999999997</v>
      </c>
      <c r="F207" s="4">
        <v>26</v>
      </c>
      <c r="G207" s="5">
        <v>1.26</v>
      </c>
      <c r="H207" s="4">
        <v>0</v>
      </c>
    </row>
    <row r="208" spans="1:8" x14ac:dyDescent="0.2">
      <c r="A208" s="2" t="s">
        <v>84</v>
      </c>
      <c r="B208" s="4">
        <v>121</v>
      </c>
      <c r="C208" s="5">
        <v>3.88</v>
      </c>
      <c r="D208" s="4">
        <v>80</v>
      </c>
      <c r="E208" s="5">
        <v>7.66</v>
      </c>
      <c r="F208" s="4">
        <v>41</v>
      </c>
      <c r="G208" s="5">
        <v>1.98</v>
      </c>
      <c r="H208" s="4">
        <v>0</v>
      </c>
    </row>
    <row r="209" spans="1:8" x14ac:dyDescent="0.2">
      <c r="A209" s="2" t="s">
        <v>85</v>
      </c>
      <c r="B209" s="4">
        <v>136</v>
      </c>
      <c r="C209" s="5">
        <v>4.3600000000000003</v>
      </c>
      <c r="D209" s="4">
        <v>36</v>
      </c>
      <c r="E209" s="5">
        <v>3.45</v>
      </c>
      <c r="F209" s="4">
        <v>99</v>
      </c>
      <c r="G209" s="5">
        <v>4.78</v>
      </c>
      <c r="H209" s="4">
        <v>0</v>
      </c>
    </row>
    <row r="210" spans="1:8" x14ac:dyDescent="0.2">
      <c r="A210" s="1" t="s">
        <v>13</v>
      </c>
      <c r="B210" s="4">
        <v>3144</v>
      </c>
      <c r="C210" s="5">
        <v>99.98</v>
      </c>
      <c r="D210" s="4">
        <v>1235</v>
      </c>
      <c r="E210" s="5">
        <v>99.990000000000009</v>
      </c>
      <c r="F210" s="4">
        <v>1905</v>
      </c>
      <c r="G210" s="5">
        <v>100.01000000000002</v>
      </c>
      <c r="H210" s="4">
        <v>3</v>
      </c>
    </row>
    <row r="211" spans="1:8" x14ac:dyDescent="0.2">
      <c r="A211" s="2" t="s">
        <v>71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72</v>
      </c>
      <c r="B212" s="4">
        <v>406</v>
      </c>
      <c r="C212" s="5">
        <v>12.91</v>
      </c>
      <c r="D212" s="4">
        <v>43</v>
      </c>
      <c r="E212" s="5">
        <v>3.48</v>
      </c>
      <c r="F212" s="4">
        <v>363</v>
      </c>
      <c r="G212" s="5">
        <v>19.059999999999999</v>
      </c>
      <c r="H212" s="4">
        <v>0</v>
      </c>
    </row>
    <row r="213" spans="1:8" x14ac:dyDescent="0.2">
      <c r="A213" s="2" t="s">
        <v>73</v>
      </c>
      <c r="B213" s="4">
        <v>609</v>
      </c>
      <c r="C213" s="5">
        <v>19.37</v>
      </c>
      <c r="D213" s="4">
        <v>107</v>
      </c>
      <c r="E213" s="5">
        <v>8.66</v>
      </c>
      <c r="F213" s="4">
        <v>502</v>
      </c>
      <c r="G213" s="5">
        <v>26.35</v>
      </c>
      <c r="H213" s="4">
        <v>0</v>
      </c>
    </row>
    <row r="214" spans="1:8" x14ac:dyDescent="0.2">
      <c r="A214" s="2" t="s">
        <v>74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75</v>
      </c>
      <c r="B215" s="4">
        <v>24</v>
      </c>
      <c r="C215" s="5">
        <v>0.76</v>
      </c>
      <c r="D215" s="4">
        <v>1</v>
      </c>
      <c r="E215" s="5">
        <v>0.08</v>
      </c>
      <c r="F215" s="4">
        <v>23</v>
      </c>
      <c r="G215" s="5">
        <v>1.21</v>
      </c>
      <c r="H215" s="4">
        <v>0</v>
      </c>
    </row>
    <row r="216" spans="1:8" x14ac:dyDescent="0.2">
      <c r="A216" s="2" t="s">
        <v>76</v>
      </c>
      <c r="B216" s="4">
        <v>43</v>
      </c>
      <c r="C216" s="5">
        <v>1.37</v>
      </c>
      <c r="D216" s="4">
        <v>9</v>
      </c>
      <c r="E216" s="5">
        <v>0.73</v>
      </c>
      <c r="F216" s="4">
        <v>34</v>
      </c>
      <c r="G216" s="5">
        <v>1.78</v>
      </c>
      <c r="H216" s="4">
        <v>0</v>
      </c>
    </row>
    <row r="217" spans="1:8" x14ac:dyDescent="0.2">
      <c r="A217" s="2" t="s">
        <v>77</v>
      </c>
      <c r="B217" s="4">
        <v>637</v>
      </c>
      <c r="C217" s="5">
        <v>20.260000000000002</v>
      </c>
      <c r="D217" s="4">
        <v>247</v>
      </c>
      <c r="E217" s="5">
        <v>20</v>
      </c>
      <c r="F217" s="4">
        <v>390</v>
      </c>
      <c r="G217" s="5">
        <v>20.47</v>
      </c>
      <c r="H217" s="4">
        <v>0</v>
      </c>
    </row>
    <row r="218" spans="1:8" x14ac:dyDescent="0.2">
      <c r="A218" s="2" t="s">
        <v>78</v>
      </c>
      <c r="B218" s="4">
        <v>15</v>
      </c>
      <c r="C218" s="5">
        <v>0.48</v>
      </c>
      <c r="D218" s="4">
        <v>1</v>
      </c>
      <c r="E218" s="5">
        <v>0.08</v>
      </c>
      <c r="F218" s="4">
        <v>14</v>
      </c>
      <c r="G218" s="5">
        <v>0.73</v>
      </c>
      <c r="H218" s="4">
        <v>0</v>
      </c>
    </row>
    <row r="219" spans="1:8" x14ac:dyDescent="0.2">
      <c r="A219" s="2" t="s">
        <v>79</v>
      </c>
      <c r="B219" s="4">
        <v>239</v>
      </c>
      <c r="C219" s="5">
        <v>7.6</v>
      </c>
      <c r="D219" s="4">
        <v>24</v>
      </c>
      <c r="E219" s="5">
        <v>1.94</v>
      </c>
      <c r="F219" s="4">
        <v>215</v>
      </c>
      <c r="G219" s="5">
        <v>11.29</v>
      </c>
      <c r="H219" s="4">
        <v>0</v>
      </c>
    </row>
    <row r="220" spans="1:8" x14ac:dyDescent="0.2">
      <c r="A220" s="2" t="s">
        <v>80</v>
      </c>
      <c r="B220" s="4">
        <v>117</v>
      </c>
      <c r="C220" s="5">
        <v>3.72</v>
      </c>
      <c r="D220" s="4">
        <v>55</v>
      </c>
      <c r="E220" s="5">
        <v>4.45</v>
      </c>
      <c r="F220" s="4">
        <v>61</v>
      </c>
      <c r="G220" s="5">
        <v>3.2</v>
      </c>
      <c r="H220" s="4">
        <v>1</v>
      </c>
    </row>
    <row r="221" spans="1:8" x14ac:dyDescent="0.2">
      <c r="A221" s="2" t="s">
        <v>81</v>
      </c>
      <c r="B221" s="4">
        <v>340</v>
      </c>
      <c r="C221" s="5">
        <v>10.81</v>
      </c>
      <c r="D221" s="4">
        <v>285</v>
      </c>
      <c r="E221" s="5">
        <v>23.08</v>
      </c>
      <c r="F221" s="4">
        <v>55</v>
      </c>
      <c r="G221" s="5">
        <v>2.89</v>
      </c>
      <c r="H221" s="4">
        <v>0</v>
      </c>
    </row>
    <row r="222" spans="1:8" x14ac:dyDescent="0.2">
      <c r="A222" s="2" t="s">
        <v>82</v>
      </c>
      <c r="B222" s="4">
        <v>384</v>
      </c>
      <c r="C222" s="5">
        <v>12.21</v>
      </c>
      <c r="D222" s="4">
        <v>281</v>
      </c>
      <c r="E222" s="5">
        <v>22.75</v>
      </c>
      <c r="F222" s="4">
        <v>103</v>
      </c>
      <c r="G222" s="5">
        <v>5.41</v>
      </c>
      <c r="H222" s="4">
        <v>0</v>
      </c>
    </row>
    <row r="223" spans="1:8" x14ac:dyDescent="0.2">
      <c r="A223" s="2" t="s">
        <v>83</v>
      </c>
      <c r="B223" s="4">
        <v>77</v>
      </c>
      <c r="C223" s="5">
        <v>2.4500000000000002</v>
      </c>
      <c r="D223" s="4">
        <v>57</v>
      </c>
      <c r="E223" s="5">
        <v>4.62</v>
      </c>
      <c r="F223" s="4">
        <v>19</v>
      </c>
      <c r="G223" s="5">
        <v>1</v>
      </c>
      <c r="H223" s="4">
        <v>0</v>
      </c>
    </row>
    <row r="224" spans="1:8" x14ac:dyDescent="0.2">
      <c r="A224" s="2" t="s">
        <v>84</v>
      </c>
      <c r="B224" s="4">
        <v>151</v>
      </c>
      <c r="C224" s="5">
        <v>4.8</v>
      </c>
      <c r="D224" s="4">
        <v>95</v>
      </c>
      <c r="E224" s="5">
        <v>7.69</v>
      </c>
      <c r="F224" s="4">
        <v>55</v>
      </c>
      <c r="G224" s="5">
        <v>2.89</v>
      </c>
      <c r="H224" s="4">
        <v>1</v>
      </c>
    </row>
    <row r="225" spans="1:8" x14ac:dyDescent="0.2">
      <c r="A225" s="2" t="s">
        <v>85</v>
      </c>
      <c r="B225" s="4">
        <v>102</v>
      </c>
      <c r="C225" s="5">
        <v>3.24</v>
      </c>
      <c r="D225" s="4">
        <v>30</v>
      </c>
      <c r="E225" s="5">
        <v>2.4300000000000002</v>
      </c>
      <c r="F225" s="4">
        <v>71</v>
      </c>
      <c r="G225" s="5">
        <v>3.73</v>
      </c>
      <c r="H225" s="4">
        <v>1</v>
      </c>
    </row>
    <row r="226" spans="1:8" x14ac:dyDescent="0.2">
      <c r="A226" s="1" t="s">
        <v>14</v>
      </c>
      <c r="B226" s="4">
        <v>3136</v>
      </c>
      <c r="C226" s="5">
        <v>99.990000000000009</v>
      </c>
      <c r="D226" s="4">
        <v>1091</v>
      </c>
      <c r="E226" s="5">
        <v>100.00999999999999</v>
      </c>
      <c r="F226" s="4">
        <v>2042</v>
      </c>
      <c r="G226" s="5">
        <v>100.02000000000001</v>
      </c>
      <c r="H226" s="4">
        <v>1</v>
      </c>
    </row>
    <row r="227" spans="1:8" x14ac:dyDescent="0.2">
      <c r="A227" s="2" t="s">
        <v>71</v>
      </c>
      <c r="B227" s="4">
        <v>1</v>
      </c>
      <c r="C227" s="5">
        <v>0.03</v>
      </c>
      <c r="D227" s="4">
        <v>0</v>
      </c>
      <c r="E227" s="5">
        <v>0</v>
      </c>
      <c r="F227" s="4">
        <v>1</v>
      </c>
      <c r="G227" s="5">
        <v>0.05</v>
      </c>
      <c r="H227" s="4">
        <v>0</v>
      </c>
    </row>
    <row r="228" spans="1:8" x14ac:dyDescent="0.2">
      <c r="A228" s="2" t="s">
        <v>72</v>
      </c>
      <c r="B228" s="4">
        <v>557</v>
      </c>
      <c r="C228" s="5">
        <v>17.760000000000002</v>
      </c>
      <c r="D228" s="4">
        <v>70</v>
      </c>
      <c r="E228" s="5">
        <v>6.42</v>
      </c>
      <c r="F228" s="4">
        <v>487</v>
      </c>
      <c r="G228" s="5">
        <v>23.85</v>
      </c>
      <c r="H228" s="4">
        <v>0</v>
      </c>
    </row>
    <row r="229" spans="1:8" x14ac:dyDescent="0.2">
      <c r="A229" s="2" t="s">
        <v>73</v>
      </c>
      <c r="B229" s="4">
        <v>449</v>
      </c>
      <c r="C229" s="5">
        <v>14.32</v>
      </c>
      <c r="D229" s="4">
        <v>85</v>
      </c>
      <c r="E229" s="5">
        <v>7.79</v>
      </c>
      <c r="F229" s="4">
        <v>364</v>
      </c>
      <c r="G229" s="5">
        <v>17.829999999999998</v>
      </c>
      <c r="H229" s="4">
        <v>0</v>
      </c>
    </row>
    <row r="230" spans="1:8" x14ac:dyDescent="0.2">
      <c r="A230" s="2" t="s">
        <v>74</v>
      </c>
      <c r="B230" s="4">
        <v>2</v>
      </c>
      <c r="C230" s="5">
        <v>0.06</v>
      </c>
      <c r="D230" s="4">
        <v>0</v>
      </c>
      <c r="E230" s="5">
        <v>0</v>
      </c>
      <c r="F230" s="4">
        <v>2</v>
      </c>
      <c r="G230" s="5">
        <v>0.1</v>
      </c>
      <c r="H230" s="4">
        <v>0</v>
      </c>
    </row>
    <row r="231" spans="1:8" x14ac:dyDescent="0.2">
      <c r="A231" s="2" t="s">
        <v>75</v>
      </c>
      <c r="B231" s="4">
        <v>24</v>
      </c>
      <c r="C231" s="5">
        <v>0.77</v>
      </c>
      <c r="D231" s="4">
        <v>0</v>
      </c>
      <c r="E231" s="5">
        <v>0</v>
      </c>
      <c r="F231" s="4">
        <v>24</v>
      </c>
      <c r="G231" s="5">
        <v>1.18</v>
      </c>
      <c r="H231" s="4">
        <v>0</v>
      </c>
    </row>
    <row r="232" spans="1:8" x14ac:dyDescent="0.2">
      <c r="A232" s="2" t="s">
        <v>76</v>
      </c>
      <c r="B232" s="4">
        <v>37</v>
      </c>
      <c r="C232" s="5">
        <v>1.18</v>
      </c>
      <c r="D232" s="4">
        <v>11</v>
      </c>
      <c r="E232" s="5">
        <v>1.01</v>
      </c>
      <c r="F232" s="4">
        <v>26</v>
      </c>
      <c r="G232" s="5">
        <v>1.27</v>
      </c>
      <c r="H232" s="4">
        <v>0</v>
      </c>
    </row>
    <row r="233" spans="1:8" x14ac:dyDescent="0.2">
      <c r="A233" s="2" t="s">
        <v>77</v>
      </c>
      <c r="B233" s="4">
        <v>548</v>
      </c>
      <c r="C233" s="5">
        <v>17.47</v>
      </c>
      <c r="D233" s="4">
        <v>145</v>
      </c>
      <c r="E233" s="5">
        <v>13.29</v>
      </c>
      <c r="F233" s="4">
        <v>402</v>
      </c>
      <c r="G233" s="5">
        <v>19.690000000000001</v>
      </c>
      <c r="H233" s="4">
        <v>1</v>
      </c>
    </row>
    <row r="234" spans="1:8" x14ac:dyDescent="0.2">
      <c r="A234" s="2" t="s">
        <v>78</v>
      </c>
      <c r="B234" s="4">
        <v>29</v>
      </c>
      <c r="C234" s="5">
        <v>0.92</v>
      </c>
      <c r="D234" s="4">
        <v>6</v>
      </c>
      <c r="E234" s="5">
        <v>0.55000000000000004</v>
      </c>
      <c r="F234" s="4">
        <v>23</v>
      </c>
      <c r="G234" s="5">
        <v>1.1299999999999999</v>
      </c>
      <c r="H234" s="4">
        <v>0</v>
      </c>
    </row>
    <row r="235" spans="1:8" x14ac:dyDescent="0.2">
      <c r="A235" s="2" t="s">
        <v>79</v>
      </c>
      <c r="B235" s="4">
        <v>288</v>
      </c>
      <c r="C235" s="5">
        <v>9.18</v>
      </c>
      <c r="D235" s="4">
        <v>42</v>
      </c>
      <c r="E235" s="5">
        <v>3.85</v>
      </c>
      <c r="F235" s="4">
        <v>245</v>
      </c>
      <c r="G235" s="5">
        <v>12</v>
      </c>
      <c r="H235" s="4">
        <v>0</v>
      </c>
    </row>
    <row r="236" spans="1:8" x14ac:dyDescent="0.2">
      <c r="A236" s="2" t="s">
        <v>80</v>
      </c>
      <c r="B236" s="4">
        <v>181</v>
      </c>
      <c r="C236" s="5">
        <v>5.77</v>
      </c>
      <c r="D236" s="4">
        <v>83</v>
      </c>
      <c r="E236" s="5">
        <v>7.61</v>
      </c>
      <c r="F236" s="4">
        <v>98</v>
      </c>
      <c r="G236" s="5">
        <v>4.8</v>
      </c>
      <c r="H236" s="4">
        <v>0</v>
      </c>
    </row>
    <row r="237" spans="1:8" x14ac:dyDescent="0.2">
      <c r="A237" s="2" t="s">
        <v>81</v>
      </c>
      <c r="B237" s="4">
        <v>274</v>
      </c>
      <c r="C237" s="5">
        <v>8.74</v>
      </c>
      <c r="D237" s="4">
        <v>224</v>
      </c>
      <c r="E237" s="5">
        <v>20.53</v>
      </c>
      <c r="F237" s="4">
        <v>49</v>
      </c>
      <c r="G237" s="5">
        <v>2.4</v>
      </c>
      <c r="H237" s="4">
        <v>0</v>
      </c>
    </row>
    <row r="238" spans="1:8" x14ac:dyDescent="0.2">
      <c r="A238" s="2" t="s">
        <v>82</v>
      </c>
      <c r="B238" s="4">
        <v>319</v>
      </c>
      <c r="C238" s="5">
        <v>10.17</v>
      </c>
      <c r="D238" s="4">
        <v>209</v>
      </c>
      <c r="E238" s="5">
        <v>19.16</v>
      </c>
      <c r="F238" s="4">
        <v>110</v>
      </c>
      <c r="G238" s="5">
        <v>5.39</v>
      </c>
      <c r="H238" s="4">
        <v>0</v>
      </c>
    </row>
    <row r="239" spans="1:8" x14ac:dyDescent="0.2">
      <c r="A239" s="2" t="s">
        <v>83</v>
      </c>
      <c r="B239" s="4">
        <v>144</v>
      </c>
      <c r="C239" s="5">
        <v>4.59</v>
      </c>
      <c r="D239" s="4">
        <v>96</v>
      </c>
      <c r="E239" s="5">
        <v>8.8000000000000007</v>
      </c>
      <c r="F239" s="4">
        <v>48</v>
      </c>
      <c r="G239" s="5">
        <v>2.35</v>
      </c>
      <c r="H239" s="4">
        <v>0</v>
      </c>
    </row>
    <row r="240" spans="1:8" x14ac:dyDescent="0.2">
      <c r="A240" s="2" t="s">
        <v>84</v>
      </c>
      <c r="B240" s="4">
        <v>153</v>
      </c>
      <c r="C240" s="5">
        <v>4.88</v>
      </c>
      <c r="D240" s="4">
        <v>86</v>
      </c>
      <c r="E240" s="5">
        <v>7.88</v>
      </c>
      <c r="F240" s="4">
        <v>67</v>
      </c>
      <c r="G240" s="5">
        <v>3.28</v>
      </c>
      <c r="H240" s="4">
        <v>0</v>
      </c>
    </row>
    <row r="241" spans="1:8" x14ac:dyDescent="0.2">
      <c r="A241" s="2" t="s">
        <v>85</v>
      </c>
      <c r="B241" s="4">
        <v>130</v>
      </c>
      <c r="C241" s="5">
        <v>4.1500000000000004</v>
      </c>
      <c r="D241" s="4">
        <v>34</v>
      </c>
      <c r="E241" s="5">
        <v>3.12</v>
      </c>
      <c r="F241" s="4">
        <v>96</v>
      </c>
      <c r="G241" s="5">
        <v>4.7</v>
      </c>
      <c r="H241" s="4">
        <v>0</v>
      </c>
    </row>
    <row r="242" spans="1:8" x14ac:dyDescent="0.2">
      <c r="A242" s="1" t="s">
        <v>15</v>
      </c>
      <c r="B242" s="4">
        <v>3786</v>
      </c>
      <c r="C242" s="5">
        <v>100</v>
      </c>
      <c r="D242" s="4">
        <v>1450</v>
      </c>
      <c r="E242" s="5">
        <v>99.999999999999986</v>
      </c>
      <c r="F242" s="4">
        <v>2331</v>
      </c>
      <c r="G242" s="5">
        <v>99.990000000000009</v>
      </c>
      <c r="H242" s="4">
        <v>4</v>
      </c>
    </row>
    <row r="243" spans="1:8" x14ac:dyDescent="0.2">
      <c r="A243" s="2" t="s">
        <v>71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72</v>
      </c>
      <c r="B244" s="4">
        <v>583</v>
      </c>
      <c r="C244" s="5">
        <v>15.4</v>
      </c>
      <c r="D244" s="4">
        <v>73</v>
      </c>
      <c r="E244" s="5">
        <v>5.03</v>
      </c>
      <c r="F244" s="4">
        <v>509</v>
      </c>
      <c r="G244" s="5">
        <v>21.84</v>
      </c>
      <c r="H244" s="4">
        <v>1</v>
      </c>
    </row>
    <row r="245" spans="1:8" x14ac:dyDescent="0.2">
      <c r="A245" s="2" t="s">
        <v>73</v>
      </c>
      <c r="B245" s="4">
        <v>592</v>
      </c>
      <c r="C245" s="5">
        <v>15.64</v>
      </c>
      <c r="D245" s="4">
        <v>118</v>
      </c>
      <c r="E245" s="5">
        <v>8.14</v>
      </c>
      <c r="F245" s="4">
        <v>474</v>
      </c>
      <c r="G245" s="5">
        <v>20.329999999999998</v>
      </c>
      <c r="H245" s="4">
        <v>0</v>
      </c>
    </row>
    <row r="246" spans="1:8" x14ac:dyDescent="0.2">
      <c r="A246" s="2" t="s">
        <v>74</v>
      </c>
      <c r="B246" s="4">
        <v>2</v>
      </c>
      <c r="C246" s="5">
        <v>0.05</v>
      </c>
      <c r="D246" s="4">
        <v>0</v>
      </c>
      <c r="E246" s="5">
        <v>0</v>
      </c>
      <c r="F246" s="4">
        <v>2</v>
      </c>
      <c r="G246" s="5">
        <v>0.09</v>
      </c>
      <c r="H246" s="4">
        <v>0</v>
      </c>
    </row>
    <row r="247" spans="1:8" x14ac:dyDescent="0.2">
      <c r="A247" s="2" t="s">
        <v>75</v>
      </c>
      <c r="B247" s="4">
        <v>33</v>
      </c>
      <c r="C247" s="5">
        <v>0.87</v>
      </c>
      <c r="D247" s="4">
        <v>4</v>
      </c>
      <c r="E247" s="5">
        <v>0.28000000000000003</v>
      </c>
      <c r="F247" s="4">
        <v>29</v>
      </c>
      <c r="G247" s="5">
        <v>1.24</v>
      </c>
      <c r="H247" s="4">
        <v>0</v>
      </c>
    </row>
    <row r="248" spans="1:8" x14ac:dyDescent="0.2">
      <c r="A248" s="2" t="s">
        <v>76</v>
      </c>
      <c r="B248" s="4">
        <v>22</v>
      </c>
      <c r="C248" s="5">
        <v>0.57999999999999996</v>
      </c>
      <c r="D248" s="4">
        <v>8</v>
      </c>
      <c r="E248" s="5">
        <v>0.55000000000000004</v>
      </c>
      <c r="F248" s="4">
        <v>14</v>
      </c>
      <c r="G248" s="5">
        <v>0.6</v>
      </c>
      <c r="H248" s="4">
        <v>0</v>
      </c>
    </row>
    <row r="249" spans="1:8" x14ac:dyDescent="0.2">
      <c r="A249" s="2" t="s">
        <v>77</v>
      </c>
      <c r="B249" s="4">
        <v>657</v>
      </c>
      <c r="C249" s="5">
        <v>17.350000000000001</v>
      </c>
      <c r="D249" s="4">
        <v>214</v>
      </c>
      <c r="E249" s="5">
        <v>14.76</v>
      </c>
      <c r="F249" s="4">
        <v>443</v>
      </c>
      <c r="G249" s="5">
        <v>19</v>
      </c>
      <c r="H249" s="4">
        <v>0</v>
      </c>
    </row>
    <row r="250" spans="1:8" x14ac:dyDescent="0.2">
      <c r="A250" s="2" t="s">
        <v>78</v>
      </c>
      <c r="B250" s="4">
        <v>37</v>
      </c>
      <c r="C250" s="5">
        <v>0.98</v>
      </c>
      <c r="D250" s="4">
        <v>5</v>
      </c>
      <c r="E250" s="5">
        <v>0.34</v>
      </c>
      <c r="F250" s="4">
        <v>32</v>
      </c>
      <c r="G250" s="5">
        <v>1.37</v>
      </c>
      <c r="H250" s="4">
        <v>0</v>
      </c>
    </row>
    <row r="251" spans="1:8" x14ac:dyDescent="0.2">
      <c r="A251" s="2" t="s">
        <v>79</v>
      </c>
      <c r="B251" s="4">
        <v>315</v>
      </c>
      <c r="C251" s="5">
        <v>8.32</v>
      </c>
      <c r="D251" s="4">
        <v>42</v>
      </c>
      <c r="E251" s="5">
        <v>2.9</v>
      </c>
      <c r="F251" s="4">
        <v>273</v>
      </c>
      <c r="G251" s="5">
        <v>11.71</v>
      </c>
      <c r="H251" s="4">
        <v>0</v>
      </c>
    </row>
    <row r="252" spans="1:8" x14ac:dyDescent="0.2">
      <c r="A252" s="2" t="s">
        <v>80</v>
      </c>
      <c r="B252" s="4">
        <v>235</v>
      </c>
      <c r="C252" s="5">
        <v>6.21</v>
      </c>
      <c r="D252" s="4">
        <v>125</v>
      </c>
      <c r="E252" s="5">
        <v>8.6199999999999992</v>
      </c>
      <c r="F252" s="4">
        <v>110</v>
      </c>
      <c r="G252" s="5">
        <v>4.72</v>
      </c>
      <c r="H252" s="4">
        <v>0</v>
      </c>
    </row>
    <row r="253" spans="1:8" x14ac:dyDescent="0.2">
      <c r="A253" s="2" t="s">
        <v>81</v>
      </c>
      <c r="B253" s="4">
        <v>309</v>
      </c>
      <c r="C253" s="5">
        <v>8.16</v>
      </c>
      <c r="D253" s="4">
        <v>244</v>
      </c>
      <c r="E253" s="5">
        <v>16.829999999999998</v>
      </c>
      <c r="F253" s="4">
        <v>65</v>
      </c>
      <c r="G253" s="5">
        <v>2.79</v>
      </c>
      <c r="H253" s="4">
        <v>0</v>
      </c>
    </row>
    <row r="254" spans="1:8" x14ac:dyDescent="0.2">
      <c r="A254" s="2" t="s">
        <v>82</v>
      </c>
      <c r="B254" s="4">
        <v>440</v>
      </c>
      <c r="C254" s="5">
        <v>11.62</v>
      </c>
      <c r="D254" s="4">
        <v>286</v>
      </c>
      <c r="E254" s="5">
        <v>19.72</v>
      </c>
      <c r="F254" s="4">
        <v>154</v>
      </c>
      <c r="G254" s="5">
        <v>6.61</v>
      </c>
      <c r="H254" s="4">
        <v>0</v>
      </c>
    </row>
    <row r="255" spans="1:8" x14ac:dyDescent="0.2">
      <c r="A255" s="2" t="s">
        <v>83</v>
      </c>
      <c r="B255" s="4">
        <v>227</v>
      </c>
      <c r="C255" s="5">
        <v>6</v>
      </c>
      <c r="D255" s="4">
        <v>159</v>
      </c>
      <c r="E255" s="5">
        <v>10.97</v>
      </c>
      <c r="F255" s="4">
        <v>66</v>
      </c>
      <c r="G255" s="5">
        <v>2.83</v>
      </c>
      <c r="H255" s="4">
        <v>1</v>
      </c>
    </row>
    <row r="256" spans="1:8" x14ac:dyDescent="0.2">
      <c r="A256" s="2" t="s">
        <v>84</v>
      </c>
      <c r="B256" s="4">
        <v>192</v>
      </c>
      <c r="C256" s="5">
        <v>5.07</v>
      </c>
      <c r="D256" s="4">
        <v>128</v>
      </c>
      <c r="E256" s="5">
        <v>8.83</v>
      </c>
      <c r="F256" s="4">
        <v>62</v>
      </c>
      <c r="G256" s="5">
        <v>2.66</v>
      </c>
      <c r="H256" s="4">
        <v>2</v>
      </c>
    </row>
    <row r="257" spans="1:8" x14ac:dyDescent="0.2">
      <c r="A257" s="2" t="s">
        <v>85</v>
      </c>
      <c r="B257" s="4">
        <v>142</v>
      </c>
      <c r="C257" s="5">
        <v>3.75</v>
      </c>
      <c r="D257" s="4">
        <v>44</v>
      </c>
      <c r="E257" s="5">
        <v>3.03</v>
      </c>
      <c r="F257" s="4">
        <v>98</v>
      </c>
      <c r="G257" s="5">
        <v>4.2</v>
      </c>
      <c r="H257" s="4">
        <v>0</v>
      </c>
    </row>
    <row r="258" spans="1:8" x14ac:dyDescent="0.2">
      <c r="A258" s="1" t="s">
        <v>16</v>
      </c>
      <c r="B258" s="4">
        <v>3328</v>
      </c>
      <c r="C258" s="5">
        <v>100</v>
      </c>
      <c r="D258" s="4">
        <v>1210</v>
      </c>
      <c r="E258" s="5">
        <v>99.99</v>
      </c>
      <c r="F258" s="4">
        <v>2115</v>
      </c>
      <c r="G258" s="5">
        <v>100</v>
      </c>
      <c r="H258" s="4">
        <v>3</v>
      </c>
    </row>
    <row r="259" spans="1:8" x14ac:dyDescent="0.2">
      <c r="A259" s="2" t="s">
        <v>71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72</v>
      </c>
      <c r="B260" s="4">
        <v>364</v>
      </c>
      <c r="C260" s="5">
        <v>10.94</v>
      </c>
      <c r="D260" s="4">
        <v>29</v>
      </c>
      <c r="E260" s="5">
        <v>2.4</v>
      </c>
      <c r="F260" s="4">
        <v>335</v>
      </c>
      <c r="G260" s="5">
        <v>15.84</v>
      </c>
      <c r="H260" s="4">
        <v>0</v>
      </c>
    </row>
    <row r="261" spans="1:8" x14ac:dyDescent="0.2">
      <c r="A261" s="2" t="s">
        <v>73</v>
      </c>
      <c r="B261" s="4">
        <v>79</v>
      </c>
      <c r="C261" s="5">
        <v>2.37</v>
      </c>
      <c r="D261" s="4">
        <v>12</v>
      </c>
      <c r="E261" s="5">
        <v>0.99</v>
      </c>
      <c r="F261" s="4">
        <v>67</v>
      </c>
      <c r="G261" s="5">
        <v>3.17</v>
      </c>
      <c r="H261" s="4">
        <v>0</v>
      </c>
    </row>
    <row r="262" spans="1:8" x14ac:dyDescent="0.2">
      <c r="A262" s="2" t="s">
        <v>74</v>
      </c>
      <c r="B262" s="4">
        <v>2</v>
      </c>
      <c r="C262" s="5">
        <v>0.06</v>
      </c>
      <c r="D262" s="4">
        <v>0</v>
      </c>
      <c r="E262" s="5">
        <v>0</v>
      </c>
      <c r="F262" s="4">
        <v>2</v>
      </c>
      <c r="G262" s="5">
        <v>0.09</v>
      </c>
      <c r="H262" s="4">
        <v>0</v>
      </c>
    </row>
    <row r="263" spans="1:8" x14ac:dyDescent="0.2">
      <c r="A263" s="2" t="s">
        <v>75</v>
      </c>
      <c r="B263" s="4">
        <v>50</v>
      </c>
      <c r="C263" s="5">
        <v>1.5</v>
      </c>
      <c r="D263" s="4">
        <v>5</v>
      </c>
      <c r="E263" s="5">
        <v>0.41</v>
      </c>
      <c r="F263" s="4">
        <v>45</v>
      </c>
      <c r="G263" s="5">
        <v>2.13</v>
      </c>
      <c r="H263" s="4">
        <v>0</v>
      </c>
    </row>
    <row r="264" spans="1:8" x14ac:dyDescent="0.2">
      <c r="A264" s="2" t="s">
        <v>76</v>
      </c>
      <c r="B264" s="4">
        <v>13</v>
      </c>
      <c r="C264" s="5">
        <v>0.39</v>
      </c>
      <c r="D264" s="4">
        <v>5</v>
      </c>
      <c r="E264" s="5">
        <v>0.41</v>
      </c>
      <c r="F264" s="4">
        <v>8</v>
      </c>
      <c r="G264" s="5">
        <v>0.38</v>
      </c>
      <c r="H264" s="4">
        <v>0</v>
      </c>
    </row>
    <row r="265" spans="1:8" x14ac:dyDescent="0.2">
      <c r="A265" s="2" t="s">
        <v>77</v>
      </c>
      <c r="B265" s="4">
        <v>692</v>
      </c>
      <c r="C265" s="5">
        <v>20.79</v>
      </c>
      <c r="D265" s="4">
        <v>171</v>
      </c>
      <c r="E265" s="5">
        <v>14.13</v>
      </c>
      <c r="F265" s="4">
        <v>521</v>
      </c>
      <c r="G265" s="5">
        <v>24.63</v>
      </c>
      <c r="H265" s="4">
        <v>0</v>
      </c>
    </row>
    <row r="266" spans="1:8" x14ac:dyDescent="0.2">
      <c r="A266" s="2" t="s">
        <v>78</v>
      </c>
      <c r="B266" s="4">
        <v>41</v>
      </c>
      <c r="C266" s="5">
        <v>1.23</v>
      </c>
      <c r="D266" s="4">
        <v>6</v>
      </c>
      <c r="E266" s="5">
        <v>0.5</v>
      </c>
      <c r="F266" s="4">
        <v>35</v>
      </c>
      <c r="G266" s="5">
        <v>1.65</v>
      </c>
      <c r="H266" s="4">
        <v>0</v>
      </c>
    </row>
    <row r="267" spans="1:8" x14ac:dyDescent="0.2">
      <c r="A267" s="2" t="s">
        <v>79</v>
      </c>
      <c r="B267" s="4">
        <v>534</v>
      </c>
      <c r="C267" s="5">
        <v>16.05</v>
      </c>
      <c r="D267" s="4">
        <v>45</v>
      </c>
      <c r="E267" s="5">
        <v>3.72</v>
      </c>
      <c r="F267" s="4">
        <v>487</v>
      </c>
      <c r="G267" s="5">
        <v>23.03</v>
      </c>
      <c r="H267" s="4">
        <v>2</v>
      </c>
    </row>
    <row r="268" spans="1:8" x14ac:dyDescent="0.2">
      <c r="A268" s="2" t="s">
        <v>80</v>
      </c>
      <c r="B268" s="4">
        <v>288</v>
      </c>
      <c r="C268" s="5">
        <v>8.65</v>
      </c>
      <c r="D268" s="4">
        <v>121</v>
      </c>
      <c r="E268" s="5">
        <v>10</v>
      </c>
      <c r="F268" s="4">
        <v>167</v>
      </c>
      <c r="G268" s="5">
        <v>7.9</v>
      </c>
      <c r="H268" s="4">
        <v>0</v>
      </c>
    </row>
    <row r="269" spans="1:8" x14ac:dyDescent="0.2">
      <c r="A269" s="2" t="s">
        <v>81</v>
      </c>
      <c r="B269" s="4">
        <v>353</v>
      </c>
      <c r="C269" s="5">
        <v>10.61</v>
      </c>
      <c r="D269" s="4">
        <v>281</v>
      </c>
      <c r="E269" s="5">
        <v>23.22</v>
      </c>
      <c r="F269" s="4">
        <v>72</v>
      </c>
      <c r="G269" s="5">
        <v>3.4</v>
      </c>
      <c r="H269" s="4">
        <v>0</v>
      </c>
    </row>
    <row r="270" spans="1:8" x14ac:dyDescent="0.2">
      <c r="A270" s="2" t="s">
        <v>82</v>
      </c>
      <c r="B270" s="4">
        <v>419</v>
      </c>
      <c r="C270" s="5">
        <v>12.59</v>
      </c>
      <c r="D270" s="4">
        <v>274</v>
      </c>
      <c r="E270" s="5">
        <v>22.64</v>
      </c>
      <c r="F270" s="4">
        <v>145</v>
      </c>
      <c r="G270" s="5">
        <v>6.86</v>
      </c>
      <c r="H270" s="4">
        <v>0</v>
      </c>
    </row>
    <row r="271" spans="1:8" x14ac:dyDescent="0.2">
      <c r="A271" s="2" t="s">
        <v>83</v>
      </c>
      <c r="B271" s="4">
        <v>191</v>
      </c>
      <c r="C271" s="5">
        <v>5.74</v>
      </c>
      <c r="D271" s="4">
        <v>120</v>
      </c>
      <c r="E271" s="5">
        <v>9.92</v>
      </c>
      <c r="F271" s="4">
        <v>70</v>
      </c>
      <c r="G271" s="5">
        <v>3.31</v>
      </c>
      <c r="H271" s="4">
        <v>1</v>
      </c>
    </row>
    <row r="272" spans="1:8" x14ac:dyDescent="0.2">
      <c r="A272" s="2" t="s">
        <v>84</v>
      </c>
      <c r="B272" s="4">
        <v>193</v>
      </c>
      <c r="C272" s="5">
        <v>5.8</v>
      </c>
      <c r="D272" s="4">
        <v>126</v>
      </c>
      <c r="E272" s="5">
        <v>10.41</v>
      </c>
      <c r="F272" s="4">
        <v>67</v>
      </c>
      <c r="G272" s="5">
        <v>3.17</v>
      </c>
      <c r="H272" s="4">
        <v>0</v>
      </c>
    </row>
    <row r="273" spans="1:8" x14ac:dyDescent="0.2">
      <c r="A273" s="2" t="s">
        <v>85</v>
      </c>
      <c r="B273" s="4">
        <v>109</v>
      </c>
      <c r="C273" s="5">
        <v>3.28</v>
      </c>
      <c r="D273" s="4">
        <v>15</v>
      </c>
      <c r="E273" s="5">
        <v>1.24</v>
      </c>
      <c r="F273" s="4">
        <v>94</v>
      </c>
      <c r="G273" s="5">
        <v>4.4400000000000004</v>
      </c>
      <c r="H273" s="4">
        <v>0</v>
      </c>
    </row>
    <row r="274" spans="1:8" x14ac:dyDescent="0.2">
      <c r="A274" s="1" t="s">
        <v>17</v>
      </c>
      <c r="B274" s="4">
        <v>3159</v>
      </c>
      <c r="C274" s="5">
        <v>100</v>
      </c>
      <c r="D274" s="4">
        <v>1170</v>
      </c>
      <c r="E274" s="5">
        <v>100.01</v>
      </c>
      <c r="F274" s="4">
        <v>1987</v>
      </c>
      <c r="G274" s="5">
        <v>100</v>
      </c>
      <c r="H274" s="4">
        <v>1</v>
      </c>
    </row>
    <row r="275" spans="1:8" x14ac:dyDescent="0.2">
      <c r="A275" s="2" t="s">
        <v>71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72</v>
      </c>
      <c r="B276" s="4">
        <v>443</v>
      </c>
      <c r="C276" s="5">
        <v>14.02</v>
      </c>
      <c r="D276" s="4">
        <v>47</v>
      </c>
      <c r="E276" s="5">
        <v>4.0199999999999996</v>
      </c>
      <c r="F276" s="4">
        <v>396</v>
      </c>
      <c r="G276" s="5">
        <v>19.93</v>
      </c>
      <c r="H276" s="4">
        <v>0</v>
      </c>
    </row>
    <row r="277" spans="1:8" x14ac:dyDescent="0.2">
      <c r="A277" s="2" t="s">
        <v>73</v>
      </c>
      <c r="B277" s="4">
        <v>282</v>
      </c>
      <c r="C277" s="5">
        <v>8.93</v>
      </c>
      <c r="D277" s="4">
        <v>54</v>
      </c>
      <c r="E277" s="5">
        <v>4.62</v>
      </c>
      <c r="F277" s="4">
        <v>228</v>
      </c>
      <c r="G277" s="5">
        <v>11.47</v>
      </c>
      <c r="H277" s="4">
        <v>0</v>
      </c>
    </row>
    <row r="278" spans="1:8" x14ac:dyDescent="0.2">
      <c r="A278" s="2" t="s">
        <v>74</v>
      </c>
      <c r="B278" s="4">
        <v>3</v>
      </c>
      <c r="C278" s="5">
        <v>0.09</v>
      </c>
      <c r="D278" s="4">
        <v>0</v>
      </c>
      <c r="E278" s="5">
        <v>0</v>
      </c>
      <c r="F278" s="4">
        <v>3</v>
      </c>
      <c r="G278" s="5">
        <v>0.15</v>
      </c>
      <c r="H278" s="4">
        <v>0</v>
      </c>
    </row>
    <row r="279" spans="1:8" x14ac:dyDescent="0.2">
      <c r="A279" s="2" t="s">
        <v>75</v>
      </c>
      <c r="B279" s="4">
        <v>40</v>
      </c>
      <c r="C279" s="5">
        <v>1.27</v>
      </c>
      <c r="D279" s="4">
        <v>3</v>
      </c>
      <c r="E279" s="5">
        <v>0.26</v>
      </c>
      <c r="F279" s="4">
        <v>37</v>
      </c>
      <c r="G279" s="5">
        <v>1.86</v>
      </c>
      <c r="H279" s="4">
        <v>0</v>
      </c>
    </row>
    <row r="280" spans="1:8" x14ac:dyDescent="0.2">
      <c r="A280" s="2" t="s">
        <v>76</v>
      </c>
      <c r="B280" s="4">
        <v>13</v>
      </c>
      <c r="C280" s="5">
        <v>0.41</v>
      </c>
      <c r="D280" s="4">
        <v>4</v>
      </c>
      <c r="E280" s="5">
        <v>0.34</v>
      </c>
      <c r="F280" s="4">
        <v>9</v>
      </c>
      <c r="G280" s="5">
        <v>0.45</v>
      </c>
      <c r="H280" s="4">
        <v>0</v>
      </c>
    </row>
    <row r="281" spans="1:8" x14ac:dyDescent="0.2">
      <c r="A281" s="2" t="s">
        <v>77</v>
      </c>
      <c r="B281" s="4">
        <v>627</v>
      </c>
      <c r="C281" s="5">
        <v>19.850000000000001</v>
      </c>
      <c r="D281" s="4">
        <v>213</v>
      </c>
      <c r="E281" s="5">
        <v>18.21</v>
      </c>
      <c r="F281" s="4">
        <v>413</v>
      </c>
      <c r="G281" s="5">
        <v>20.79</v>
      </c>
      <c r="H281" s="4">
        <v>1</v>
      </c>
    </row>
    <row r="282" spans="1:8" x14ac:dyDescent="0.2">
      <c r="A282" s="2" t="s">
        <v>78</v>
      </c>
      <c r="B282" s="4">
        <v>29</v>
      </c>
      <c r="C282" s="5">
        <v>0.92</v>
      </c>
      <c r="D282" s="4">
        <v>2</v>
      </c>
      <c r="E282" s="5">
        <v>0.17</v>
      </c>
      <c r="F282" s="4">
        <v>27</v>
      </c>
      <c r="G282" s="5">
        <v>1.36</v>
      </c>
      <c r="H282" s="4">
        <v>0</v>
      </c>
    </row>
    <row r="283" spans="1:8" x14ac:dyDescent="0.2">
      <c r="A283" s="2" t="s">
        <v>79</v>
      </c>
      <c r="B283" s="4">
        <v>367</v>
      </c>
      <c r="C283" s="5">
        <v>11.62</v>
      </c>
      <c r="D283" s="4">
        <v>30</v>
      </c>
      <c r="E283" s="5">
        <v>2.56</v>
      </c>
      <c r="F283" s="4">
        <v>337</v>
      </c>
      <c r="G283" s="5">
        <v>16.96</v>
      </c>
      <c r="H283" s="4">
        <v>0</v>
      </c>
    </row>
    <row r="284" spans="1:8" x14ac:dyDescent="0.2">
      <c r="A284" s="2" t="s">
        <v>80</v>
      </c>
      <c r="B284" s="4">
        <v>241</v>
      </c>
      <c r="C284" s="5">
        <v>7.63</v>
      </c>
      <c r="D284" s="4">
        <v>109</v>
      </c>
      <c r="E284" s="5">
        <v>9.32</v>
      </c>
      <c r="F284" s="4">
        <v>132</v>
      </c>
      <c r="G284" s="5">
        <v>6.64</v>
      </c>
      <c r="H284" s="4">
        <v>0</v>
      </c>
    </row>
    <row r="285" spans="1:8" x14ac:dyDescent="0.2">
      <c r="A285" s="2" t="s">
        <v>81</v>
      </c>
      <c r="B285" s="4">
        <v>301</v>
      </c>
      <c r="C285" s="5">
        <v>9.5299999999999994</v>
      </c>
      <c r="D285" s="4">
        <v>234</v>
      </c>
      <c r="E285" s="5">
        <v>20</v>
      </c>
      <c r="F285" s="4">
        <v>66</v>
      </c>
      <c r="G285" s="5">
        <v>3.32</v>
      </c>
      <c r="H285" s="4">
        <v>0</v>
      </c>
    </row>
    <row r="286" spans="1:8" x14ac:dyDescent="0.2">
      <c r="A286" s="2" t="s">
        <v>82</v>
      </c>
      <c r="B286" s="4">
        <v>367</v>
      </c>
      <c r="C286" s="5">
        <v>11.62</v>
      </c>
      <c r="D286" s="4">
        <v>250</v>
      </c>
      <c r="E286" s="5">
        <v>21.37</v>
      </c>
      <c r="F286" s="4">
        <v>117</v>
      </c>
      <c r="G286" s="5">
        <v>5.89</v>
      </c>
      <c r="H286" s="4">
        <v>0</v>
      </c>
    </row>
    <row r="287" spans="1:8" x14ac:dyDescent="0.2">
      <c r="A287" s="2" t="s">
        <v>83</v>
      </c>
      <c r="B287" s="4">
        <v>141</v>
      </c>
      <c r="C287" s="5">
        <v>4.46</v>
      </c>
      <c r="D287" s="4">
        <v>92</v>
      </c>
      <c r="E287" s="5">
        <v>7.86</v>
      </c>
      <c r="F287" s="4">
        <v>49</v>
      </c>
      <c r="G287" s="5">
        <v>2.4700000000000002</v>
      </c>
      <c r="H287" s="4">
        <v>0</v>
      </c>
    </row>
    <row r="288" spans="1:8" x14ac:dyDescent="0.2">
      <c r="A288" s="2" t="s">
        <v>84</v>
      </c>
      <c r="B288" s="4">
        <v>189</v>
      </c>
      <c r="C288" s="5">
        <v>5.98</v>
      </c>
      <c r="D288" s="4">
        <v>106</v>
      </c>
      <c r="E288" s="5">
        <v>9.06</v>
      </c>
      <c r="F288" s="4">
        <v>83</v>
      </c>
      <c r="G288" s="5">
        <v>4.18</v>
      </c>
      <c r="H288" s="4">
        <v>0</v>
      </c>
    </row>
    <row r="289" spans="1:8" x14ac:dyDescent="0.2">
      <c r="A289" s="2" t="s">
        <v>85</v>
      </c>
      <c r="B289" s="4">
        <v>116</v>
      </c>
      <c r="C289" s="5">
        <v>3.67</v>
      </c>
      <c r="D289" s="4">
        <v>26</v>
      </c>
      <c r="E289" s="5">
        <v>2.2200000000000002</v>
      </c>
      <c r="F289" s="4">
        <v>90</v>
      </c>
      <c r="G289" s="5">
        <v>4.53</v>
      </c>
      <c r="H289" s="4">
        <v>0</v>
      </c>
    </row>
    <row r="290" spans="1:8" x14ac:dyDescent="0.2">
      <c r="A290" s="1" t="s">
        <v>18</v>
      </c>
      <c r="B290" s="4">
        <v>8046</v>
      </c>
      <c r="C290" s="5">
        <v>99.989999999999981</v>
      </c>
      <c r="D290" s="4">
        <v>3878</v>
      </c>
      <c r="E290" s="5">
        <v>100.00999999999999</v>
      </c>
      <c r="F290" s="4">
        <v>4133</v>
      </c>
      <c r="G290" s="5">
        <v>100.00999999999999</v>
      </c>
      <c r="H290" s="4">
        <v>10</v>
      </c>
    </row>
    <row r="291" spans="1:8" x14ac:dyDescent="0.2">
      <c r="A291" s="2" t="s">
        <v>71</v>
      </c>
      <c r="B291" s="4">
        <v>1</v>
      </c>
      <c r="C291" s="5">
        <v>0.01</v>
      </c>
      <c r="D291" s="4">
        <v>0</v>
      </c>
      <c r="E291" s="5">
        <v>0</v>
      </c>
      <c r="F291" s="4">
        <v>1</v>
      </c>
      <c r="G291" s="5">
        <v>0.02</v>
      </c>
      <c r="H291" s="4">
        <v>0</v>
      </c>
    </row>
    <row r="292" spans="1:8" x14ac:dyDescent="0.2">
      <c r="A292" s="2" t="s">
        <v>72</v>
      </c>
      <c r="B292" s="4">
        <v>1095</v>
      </c>
      <c r="C292" s="5">
        <v>13.61</v>
      </c>
      <c r="D292" s="4">
        <v>268</v>
      </c>
      <c r="E292" s="5">
        <v>6.91</v>
      </c>
      <c r="F292" s="4">
        <v>826</v>
      </c>
      <c r="G292" s="5">
        <v>19.989999999999998</v>
      </c>
      <c r="H292" s="4">
        <v>1</v>
      </c>
    </row>
    <row r="293" spans="1:8" x14ac:dyDescent="0.2">
      <c r="A293" s="2" t="s">
        <v>73</v>
      </c>
      <c r="B293" s="4">
        <v>865</v>
      </c>
      <c r="C293" s="5">
        <v>10.75</v>
      </c>
      <c r="D293" s="4">
        <v>262</v>
      </c>
      <c r="E293" s="5">
        <v>6.76</v>
      </c>
      <c r="F293" s="4">
        <v>601</v>
      </c>
      <c r="G293" s="5">
        <v>14.54</v>
      </c>
      <c r="H293" s="4">
        <v>2</v>
      </c>
    </row>
    <row r="294" spans="1:8" x14ac:dyDescent="0.2">
      <c r="A294" s="2" t="s">
        <v>74</v>
      </c>
      <c r="B294" s="4">
        <v>14</v>
      </c>
      <c r="C294" s="5">
        <v>0.17</v>
      </c>
      <c r="D294" s="4">
        <v>0</v>
      </c>
      <c r="E294" s="5">
        <v>0</v>
      </c>
      <c r="F294" s="4">
        <v>14</v>
      </c>
      <c r="G294" s="5">
        <v>0.34</v>
      </c>
      <c r="H294" s="4">
        <v>0</v>
      </c>
    </row>
    <row r="295" spans="1:8" x14ac:dyDescent="0.2">
      <c r="A295" s="2" t="s">
        <v>75</v>
      </c>
      <c r="B295" s="4">
        <v>67</v>
      </c>
      <c r="C295" s="5">
        <v>0.83</v>
      </c>
      <c r="D295" s="4">
        <v>6</v>
      </c>
      <c r="E295" s="5">
        <v>0.15</v>
      </c>
      <c r="F295" s="4">
        <v>61</v>
      </c>
      <c r="G295" s="5">
        <v>1.48</v>
      </c>
      <c r="H295" s="4">
        <v>0</v>
      </c>
    </row>
    <row r="296" spans="1:8" x14ac:dyDescent="0.2">
      <c r="A296" s="2" t="s">
        <v>76</v>
      </c>
      <c r="B296" s="4">
        <v>78</v>
      </c>
      <c r="C296" s="5">
        <v>0.97</v>
      </c>
      <c r="D296" s="4">
        <v>9</v>
      </c>
      <c r="E296" s="5">
        <v>0.23</v>
      </c>
      <c r="F296" s="4">
        <v>68</v>
      </c>
      <c r="G296" s="5">
        <v>1.65</v>
      </c>
      <c r="H296" s="4">
        <v>0</v>
      </c>
    </row>
    <row r="297" spans="1:8" x14ac:dyDescent="0.2">
      <c r="A297" s="2" t="s">
        <v>77</v>
      </c>
      <c r="B297" s="4">
        <v>1775</v>
      </c>
      <c r="C297" s="5">
        <v>22.06</v>
      </c>
      <c r="D297" s="4">
        <v>736</v>
      </c>
      <c r="E297" s="5">
        <v>18.98</v>
      </c>
      <c r="F297" s="4">
        <v>1039</v>
      </c>
      <c r="G297" s="5">
        <v>25.14</v>
      </c>
      <c r="H297" s="4">
        <v>0</v>
      </c>
    </row>
    <row r="298" spans="1:8" x14ac:dyDescent="0.2">
      <c r="A298" s="2" t="s">
        <v>78</v>
      </c>
      <c r="B298" s="4">
        <v>75</v>
      </c>
      <c r="C298" s="5">
        <v>0.93</v>
      </c>
      <c r="D298" s="4">
        <v>11</v>
      </c>
      <c r="E298" s="5">
        <v>0.28000000000000003</v>
      </c>
      <c r="F298" s="4">
        <v>64</v>
      </c>
      <c r="G298" s="5">
        <v>1.55</v>
      </c>
      <c r="H298" s="4">
        <v>0</v>
      </c>
    </row>
    <row r="299" spans="1:8" x14ac:dyDescent="0.2">
      <c r="A299" s="2" t="s">
        <v>79</v>
      </c>
      <c r="B299" s="4">
        <v>681</v>
      </c>
      <c r="C299" s="5">
        <v>8.4600000000000009</v>
      </c>
      <c r="D299" s="4">
        <v>236</v>
      </c>
      <c r="E299" s="5">
        <v>6.09</v>
      </c>
      <c r="F299" s="4">
        <v>445</v>
      </c>
      <c r="G299" s="5">
        <v>10.77</v>
      </c>
      <c r="H299" s="4">
        <v>0</v>
      </c>
    </row>
    <row r="300" spans="1:8" x14ac:dyDescent="0.2">
      <c r="A300" s="2" t="s">
        <v>80</v>
      </c>
      <c r="B300" s="4">
        <v>468</v>
      </c>
      <c r="C300" s="5">
        <v>5.82</v>
      </c>
      <c r="D300" s="4">
        <v>235</v>
      </c>
      <c r="E300" s="5">
        <v>6.06</v>
      </c>
      <c r="F300" s="4">
        <v>232</v>
      </c>
      <c r="G300" s="5">
        <v>5.61</v>
      </c>
      <c r="H300" s="4">
        <v>0</v>
      </c>
    </row>
    <row r="301" spans="1:8" x14ac:dyDescent="0.2">
      <c r="A301" s="2" t="s">
        <v>81</v>
      </c>
      <c r="B301" s="4">
        <v>962</v>
      </c>
      <c r="C301" s="5">
        <v>11.96</v>
      </c>
      <c r="D301" s="4">
        <v>782</v>
      </c>
      <c r="E301" s="5">
        <v>20.170000000000002</v>
      </c>
      <c r="F301" s="4">
        <v>178</v>
      </c>
      <c r="G301" s="5">
        <v>4.3099999999999996</v>
      </c>
      <c r="H301" s="4">
        <v>0</v>
      </c>
    </row>
    <row r="302" spans="1:8" x14ac:dyDescent="0.2">
      <c r="A302" s="2" t="s">
        <v>82</v>
      </c>
      <c r="B302" s="4">
        <v>989</v>
      </c>
      <c r="C302" s="5">
        <v>12.29</v>
      </c>
      <c r="D302" s="4">
        <v>791</v>
      </c>
      <c r="E302" s="5">
        <v>20.399999999999999</v>
      </c>
      <c r="F302" s="4">
        <v>194</v>
      </c>
      <c r="G302" s="5">
        <v>4.6900000000000004</v>
      </c>
      <c r="H302" s="4">
        <v>1</v>
      </c>
    </row>
    <row r="303" spans="1:8" x14ac:dyDescent="0.2">
      <c r="A303" s="2" t="s">
        <v>83</v>
      </c>
      <c r="B303" s="4">
        <v>344</v>
      </c>
      <c r="C303" s="5">
        <v>4.28</v>
      </c>
      <c r="D303" s="4">
        <v>217</v>
      </c>
      <c r="E303" s="5">
        <v>5.6</v>
      </c>
      <c r="F303" s="4">
        <v>124</v>
      </c>
      <c r="G303" s="5">
        <v>3</v>
      </c>
      <c r="H303" s="4">
        <v>0</v>
      </c>
    </row>
    <row r="304" spans="1:8" x14ac:dyDescent="0.2">
      <c r="A304" s="2" t="s">
        <v>84</v>
      </c>
      <c r="B304" s="4">
        <v>339</v>
      </c>
      <c r="C304" s="5">
        <v>4.21</v>
      </c>
      <c r="D304" s="4">
        <v>227</v>
      </c>
      <c r="E304" s="5">
        <v>5.85</v>
      </c>
      <c r="F304" s="4">
        <v>95</v>
      </c>
      <c r="G304" s="5">
        <v>2.2999999999999998</v>
      </c>
      <c r="H304" s="4">
        <v>4</v>
      </c>
    </row>
    <row r="305" spans="1:8" x14ac:dyDescent="0.2">
      <c r="A305" s="2" t="s">
        <v>85</v>
      </c>
      <c r="B305" s="4">
        <v>293</v>
      </c>
      <c r="C305" s="5">
        <v>3.64</v>
      </c>
      <c r="D305" s="4">
        <v>98</v>
      </c>
      <c r="E305" s="5">
        <v>2.5299999999999998</v>
      </c>
      <c r="F305" s="4">
        <v>191</v>
      </c>
      <c r="G305" s="5">
        <v>4.62</v>
      </c>
      <c r="H305" s="4">
        <v>2</v>
      </c>
    </row>
    <row r="306" spans="1:8" x14ac:dyDescent="0.2">
      <c r="A306" s="1" t="s">
        <v>19</v>
      </c>
      <c r="B306" s="4">
        <v>7263</v>
      </c>
      <c r="C306" s="5">
        <v>100</v>
      </c>
      <c r="D306" s="4">
        <v>3582</v>
      </c>
      <c r="E306" s="5">
        <v>100.01</v>
      </c>
      <c r="F306" s="4">
        <v>3640</v>
      </c>
      <c r="G306" s="5">
        <v>99.990000000000009</v>
      </c>
      <c r="H306" s="4">
        <v>10</v>
      </c>
    </row>
    <row r="307" spans="1:8" x14ac:dyDescent="0.2">
      <c r="A307" s="2" t="s">
        <v>71</v>
      </c>
      <c r="B307" s="4">
        <v>3</v>
      </c>
      <c r="C307" s="5">
        <v>0.04</v>
      </c>
      <c r="D307" s="4">
        <v>0</v>
      </c>
      <c r="E307" s="5">
        <v>0</v>
      </c>
      <c r="F307" s="4">
        <v>3</v>
      </c>
      <c r="G307" s="5">
        <v>0.08</v>
      </c>
      <c r="H307" s="4">
        <v>0</v>
      </c>
    </row>
    <row r="308" spans="1:8" x14ac:dyDescent="0.2">
      <c r="A308" s="2" t="s">
        <v>72</v>
      </c>
      <c r="B308" s="4">
        <v>1045</v>
      </c>
      <c r="C308" s="5">
        <v>14.39</v>
      </c>
      <c r="D308" s="4">
        <v>273</v>
      </c>
      <c r="E308" s="5">
        <v>7.62</v>
      </c>
      <c r="F308" s="4">
        <v>772</v>
      </c>
      <c r="G308" s="5">
        <v>21.21</v>
      </c>
      <c r="H308" s="4">
        <v>0</v>
      </c>
    </row>
    <row r="309" spans="1:8" x14ac:dyDescent="0.2">
      <c r="A309" s="2" t="s">
        <v>73</v>
      </c>
      <c r="B309" s="4">
        <v>905</v>
      </c>
      <c r="C309" s="5">
        <v>12.46</v>
      </c>
      <c r="D309" s="4">
        <v>344</v>
      </c>
      <c r="E309" s="5">
        <v>9.6</v>
      </c>
      <c r="F309" s="4">
        <v>561</v>
      </c>
      <c r="G309" s="5">
        <v>15.41</v>
      </c>
      <c r="H309" s="4">
        <v>0</v>
      </c>
    </row>
    <row r="310" spans="1:8" x14ac:dyDescent="0.2">
      <c r="A310" s="2" t="s">
        <v>74</v>
      </c>
      <c r="B310" s="4">
        <v>7</v>
      </c>
      <c r="C310" s="5">
        <v>0.1</v>
      </c>
      <c r="D310" s="4">
        <v>0</v>
      </c>
      <c r="E310" s="5">
        <v>0</v>
      </c>
      <c r="F310" s="4">
        <v>7</v>
      </c>
      <c r="G310" s="5">
        <v>0.19</v>
      </c>
      <c r="H310" s="4">
        <v>0</v>
      </c>
    </row>
    <row r="311" spans="1:8" x14ac:dyDescent="0.2">
      <c r="A311" s="2" t="s">
        <v>75</v>
      </c>
      <c r="B311" s="4">
        <v>59</v>
      </c>
      <c r="C311" s="5">
        <v>0.81</v>
      </c>
      <c r="D311" s="4">
        <v>2</v>
      </c>
      <c r="E311" s="5">
        <v>0.06</v>
      </c>
      <c r="F311" s="4">
        <v>57</v>
      </c>
      <c r="G311" s="5">
        <v>1.57</v>
      </c>
      <c r="H311" s="4">
        <v>0</v>
      </c>
    </row>
    <row r="312" spans="1:8" x14ac:dyDescent="0.2">
      <c r="A312" s="2" t="s">
        <v>76</v>
      </c>
      <c r="B312" s="4">
        <v>32</v>
      </c>
      <c r="C312" s="5">
        <v>0.44</v>
      </c>
      <c r="D312" s="4">
        <v>5</v>
      </c>
      <c r="E312" s="5">
        <v>0.14000000000000001</v>
      </c>
      <c r="F312" s="4">
        <v>27</v>
      </c>
      <c r="G312" s="5">
        <v>0.74</v>
      </c>
      <c r="H312" s="4">
        <v>0</v>
      </c>
    </row>
    <row r="313" spans="1:8" x14ac:dyDescent="0.2">
      <c r="A313" s="2" t="s">
        <v>77</v>
      </c>
      <c r="B313" s="4">
        <v>1601</v>
      </c>
      <c r="C313" s="5">
        <v>22.04</v>
      </c>
      <c r="D313" s="4">
        <v>734</v>
      </c>
      <c r="E313" s="5">
        <v>20.49</v>
      </c>
      <c r="F313" s="4">
        <v>865</v>
      </c>
      <c r="G313" s="5">
        <v>23.76</v>
      </c>
      <c r="H313" s="4">
        <v>2</v>
      </c>
    </row>
    <row r="314" spans="1:8" x14ac:dyDescent="0.2">
      <c r="A314" s="2" t="s">
        <v>78</v>
      </c>
      <c r="B314" s="4">
        <v>71</v>
      </c>
      <c r="C314" s="5">
        <v>0.98</v>
      </c>
      <c r="D314" s="4">
        <v>11</v>
      </c>
      <c r="E314" s="5">
        <v>0.31</v>
      </c>
      <c r="F314" s="4">
        <v>60</v>
      </c>
      <c r="G314" s="5">
        <v>1.65</v>
      </c>
      <c r="H314" s="4">
        <v>0</v>
      </c>
    </row>
    <row r="315" spans="1:8" x14ac:dyDescent="0.2">
      <c r="A315" s="2" t="s">
        <v>79</v>
      </c>
      <c r="B315" s="4">
        <v>629</v>
      </c>
      <c r="C315" s="5">
        <v>8.66</v>
      </c>
      <c r="D315" s="4">
        <v>186</v>
      </c>
      <c r="E315" s="5">
        <v>5.19</v>
      </c>
      <c r="F315" s="4">
        <v>442</v>
      </c>
      <c r="G315" s="5">
        <v>12.14</v>
      </c>
      <c r="H315" s="4">
        <v>1</v>
      </c>
    </row>
    <row r="316" spans="1:8" x14ac:dyDescent="0.2">
      <c r="A316" s="2" t="s">
        <v>80</v>
      </c>
      <c r="B316" s="4">
        <v>425</v>
      </c>
      <c r="C316" s="5">
        <v>5.85</v>
      </c>
      <c r="D316" s="4">
        <v>235</v>
      </c>
      <c r="E316" s="5">
        <v>6.56</v>
      </c>
      <c r="F316" s="4">
        <v>188</v>
      </c>
      <c r="G316" s="5">
        <v>5.16</v>
      </c>
      <c r="H316" s="4">
        <v>0</v>
      </c>
    </row>
    <row r="317" spans="1:8" x14ac:dyDescent="0.2">
      <c r="A317" s="2" t="s">
        <v>81</v>
      </c>
      <c r="B317" s="4">
        <v>758</v>
      </c>
      <c r="C317" s="5">
        <v>10.44</v>
      </c>
      <c r="D317" s="4">
        <v>597</v>
      </c>
      <c r="E317" s="5">
        <v>16.670000000000002</v>
      </c>
      <c r="F317" s="4">
        <v>158</v>
      </c>
      <c r="G317" s="5">
        <v>4.34</v>
      </c>
      <c r="H317" s="4">
        <v>2</v>
      </c>
    </row>
    <row r="318" spans="1:8" x14ac:dyDescent="0.2">
      <c r="A318" s="2" t="s">
        <v>82</v>
      </c>
      <c r="B318" s="4">
        <v>857</v>
      </c>
      <c r="C318" s="5">
        <v>11.8</v>
      </c>
      <c r="D318" s="4">
        <v>661</v>
      </c>
      <c r="E318" s="5">
        <v>18.45</v>
      </c>
      <c r="F318" s="4">
        <v>192</v>
      </c>
      <c r="G318" s="5">
        <v>5.27</v>
      </c>
      <c r="H318" s="4">
        <v>1</v>
      </c>
    </row>
    <row r="319" spans="1:8" x14ac:dyDescent="0.2">
      <c r="A319" s="2" t="s">
        <v>83</v>
      </c>
      <c r="B319" s="4">
        <v>323</v>
      </c>
      <c r="C319" s="5">
        <v>4.45</v>
      </c>
      <c r="D319" s="4">
        <v>242</v>
      </c>
      <c r="E319" s="5">
        <v>6.76</v>
      </c>
      <c r="F319" s="4">
        <v>77</v>
      </c>
      <c r="G319" s="5">
        <v>2.12</v>
      </c>
      <c r="H319" s="4">
        <v>1</v>
      </c>
    </row>
    <row r="320" spans="1:8" x14ac:dyDescent="0.2">
      <c r="A320" s="2" t="s">
        <v>84</v>
      </c>
      <c r="B320" s="4">
        <v>311</v>
      </c>
      <c r="C320" s="5">
        <v>4.28</v>
      </c>
      <c r="D320" s="4">
        <v>194</v>
      </c>
      <c r="E320" s="5">
        <v>5.42</v>
      </c>
      <c r="F320" s="4">
        <v>95</v>
      </c>
      <c r="G320" s="5">
        <v>2.61</v>
      </c>
      <c r="H320" s="4">
        <v>0</v>
      </c>
    </row>
    <row r="321" spans="1:8" x14ac:dyDescent="0.2">
      <c r="A321" s="2" t="s">
        <v>85</v>
      </c>
      <c r="B321" s="4">
        <v>237</v>
      </c>
      <c r="C321" s="5">
        <v>3.26</v>
      </c>
      <c r="D321" s="4">
        <v>98</v>
      </c>
      <c r="E321" s="5">
        <v>2.74</v>
      </c>
      <c r="F321" s="4">
        <v>136</v>
      </c>
      <c r="G321" s="5">
        <v>3.74</v>
      </c>
      <c r="H321" s="4">
        <v>3</v>
      </c>
    </row>
    <row r="322" spans="1:8" x14ac:dyDescent="0.2">
      <c r="A322" s="1" t="s">
        <v>20</v>
      </c>
      <c r="B322" s="4">
        <v>9939</v>
      </c>
      <c r="C322" s="5">
        <v>99.98</v>
      </c>
      <c r="D322" s="4">
        <v>5344</v>
      </c>
      <c r="E322" s="5">
        <v>99.99</v>
      </c>
      <c r="F322" s="4">
        <v>4566</v>
      </c>
      <c r="G322" s="5">
        <v>100</v>
      </c>
      <c r="H322" s="4">
        <v>9</v>
      </c>
    </row>
    <row r="323" spans="1:8" x14ac:dyDescent="0.2">
      <c r="A323" s="2" t="s">
        <v>71</v>
      </c>
      <c r="B323" s="4">
        <v>1</v>
      </c>
      <c r="C323" s="5">
        <v>0.01</v>
      </c>
      <c r="D323" s="4">
        <v>0</v>
      </c>
      <c r="E323" s="5">
        <v>0</v>
      </c>
      <c r="F323" s="4">
        <v>1</v>
      </c>
      <c r="G323" s="5">
        <v>0.02</v>
      </c>
      <c r="H323" s="4">
        <v>0</v>
      </c>
    </row>
    <row r="324" spans="1:8" x14ac:dyDescent="0.2">
      <c r="A324" s="2" t="s">
        <v>72</v>
      </c>
      <c r="B324" s="4">
        <v>1407</v>
      </c>
      <c r="C324" s="5">
        <v>14.16</v>
      </c>
      <c r="D324" s="4">
        <v>468</v>
      </c>
      <c r="E324" s="5">
        <v>8.76</v>
      </c>
      <c r="F324" s="4">
        <v>939</v>
      </c>
      <c r="G324" s="5">
        <v>20.57</v>
      </c>
      <c r="H324" s="4">
        <v>0</v>
      </c>
    </row>
    <row r="325" spans="1:8" x14ac:dyDescent="0.2">
      <c r="A325" s="2" t="s">
        <v>73</v>
      </c>
      <c r="B325" s="4">
        <v>1623</v>
      </c>
      <c r="C325" s="5">
        <v>16.329999999999998</v>
      </c>
      <c r="D325" s="4">
        <v>818</v>
      </c>
      <c r="E325" s="5">
        <v>15.31</v>
      </c>
      <c r="F325" s="4">
        <v>805</v>
      </c>
      <c r="G325" s="5">
        <v>17.63</v>
      </c>
      <c r="H325" s="4">
        <v>0</v>
      </c>
    </row>
    <row r="326" spans="1:8" x14ac:dyDescent="0.2">
      <c r="A326" s="2" t="s">
        <v>74</v>
      </c>
      <c r="B326" s="4">
        <v>20</v>
      </c>
      <c r="C326" s="5">
        <v>0.2</v>
      </c>
      <c r="D326" s="4">
        <v>2</v>
      </c>
      <c r="E326" s="5">
        <v>0.04</v>
      </c>
      <c r="F326" s="4">
        <v>18</v>
      </c>
      <c r="G326" s="5">
        <v>0.39</v>
      </c>
      <c r="H326" s="4">
        <v>0</v>
      </c>
    </row>
    <row r="327" spans="1:8" x14ac:dyDescent="0.2">
      <c r="A327" s="2" t="s">
        <v>75</v>
      </c>
      <c r="B327" s="4">
        <v>71</v>
      </c>
      <c r="C327" s="5">
        <v>0.71</v>
      </c>
      <c r="D327" s="4">
        <v>5</v>
      </c>
      <c r="E327" s="5">
        <v>0.09</v>
      </c>
      <c r="F327" s="4">
        <v>66</v>
      </c>
      <c r="G327" s="5">
        <v>1.45</v>
      </c>
      <c r="H327" s="4">
        <v>0</v>
      </c>
    </row>
    <row r="328" spans="1:8" x14ac:dyDescent="0.2">
      <c r="A328" s="2" t="s">
        <v>76</v>
      </c>
      <c r="B328" s="4">
        <v>107</v>
      </c>
      <c r="C328" s="5">
        <v>1.08</v>
      </c>
      <c r="D328" s="4">
        <v>21</v>
      </c>
      <c r="E328" s="5">
        <v>0.39</v>
      </c>
      <c r="F328" s="4">
        <v>86</v>
      </c>
      <c r="G328" s="5">
        <v>1.88</v>
      </c>
      <c r="H328" s="4">
        <v>0</v>
      </c>
    </row>
    <row r="329" spans="1:8" x14ac:dyDescent="0.2">
      <c r="A329" s="2" t="s">
        <v>77</v>
      </c>
      <c r="B329" s="4">
        <v>1844</v>
      </c>
      <c r="C329" s="5">
        <v>18.55</v>
      </c>
      <c r="D329" s="4">
        <v>871</v>
      </c>
      <c r="E329" s="5">
        <v>16.3</v>
      </c>
      <c r="F329" s="4">
        <v>972</v>
      </c>
      <c r="G329" s="5">
        <v>21.29</v>
      </c>
      <c r="H329" s="4">
        <v>1</v>
      </c>
    </row>
    <row r="330" spans="1:8" x14ac:dyDescent="0.2">
      <c r="A330" s="2" t="s">
        <v>78</v>
      </c>
      <c r="B330" s="4">
        <v>54</v>
      </c>
      <c r="C330" s="5">
        <v>0.54</v>
      </c>
      <c r="D330" s="4">
        <v>10</v>
      </c>
      <c r="E330" s="5">
        <v>0.19</v>
      </c>
      <c r="F330" s="4">
        <v>44</v>
      </c>
      <c r="G330" s="5">
        <v>0.96</v>
      </c>
      <c r="H330" s="4">
        <v>0</v>
      </c>
    </row>
    <row r="331" spans="1:8" x14ac:dyDescent="0.2">
      <c r="A331" s="2" t="s">
        <v>79</v>
      </c>
      <c r="B331" s="4">
        <v>889</v>
      </c>
      <c r="C331" s="5">
        <v>8.94</v>
      </c>
      <c r="D331" s="4">
        <v>317</v>
      </c>
      <c r="E331" s="5">
        <v>5.93</v>
      </c>
      <c r="F331" s="4">
        <v>572</v>
      </c>
      <c r="G331" s="5">
        <v>12.53</v>
      </c>
      <c r="H331" s="4">
        <v>0</v>
      </c>
    </row>
    <row r="332" spans="1:8" x14ac:dyDescent="0.2">
      <c r="A332" s="2" t="s">
        <v>80</v>
      </c>
      <c r="B332" s="4">
        <v>523</v>
      </c>
      <c r="C332" s="5">
        <v>5.26</v>
      </c>
      <c r="D332" s="4">
        <v>318</v>
      </c>
      <c r="E332" s="5">
        <v>5.95</v>
      </c>
      <c r="F332" s="4">
        <v>203</v>
      </c>
      <c r="G332" s="5">
        <v>4.45</v>
      </c>
      <c r="H332" s="4">
        <v>1</v>
      </c>
    </row>
    <row r="333" spans="1:8" x14ac:dyDescent="0.2">
      <c r="A333" s="2" t="s">
        <v>81</v>
      </c>
      <c r="B333" s="4">
        <v>980</v>
      </c>
      <c r="C333" s="5">
        <v>9.86</v>
      </c>
      <c r="D333" s="4">
        <v>820</v>
      </c>
      <c r="E333" s="5">
        <v>15.34</v>
      </c>
      <c r="F333" s="4">
        <v>158</v>
      </c>
      <c r="G333" s="5">
        <v>3.46</v>
      </c>
      <c r="H333" s="4">
        <v>0</v>
      </c>
    </row>
    <row r="334" spans="1:8" x14ac:dyDescent="0.2">
      <c r="A334" s="2" t="s">
        <v>82</v>
      </c>
      <c r="B334" s="4">
        <v>1017</v>
      </c>
      <c r="C334" s="5">
        <v>10.23</v>
      </c>
      <c r="D334" s="4">
        <v>775</v>
      </c>
      <c r="E334" s="5">
        <v>14.5</v>
      </c>
      <c r="F334" s="4">
        <v>241</v>
      </c>
      <c r="G334" s="5">
        <v>5.28</v>
      </c>
      <c r="H334" s="4">
        <v>1</v>
      </c>
    </row>
    <row r="335" spans="1:8" x14ac:dyDescent="0.2">
      <c r="A335" s="2" t="s">
        <v>83</v>
      </c>
      <c r="B335" s="4">
        <v>500</v>
      </c>
      <c r="C335" s="5">
        <v>5.03</v>
      </c>
      <c r="D335" s="4">
        <v>393</v>
      </c>
      <c r="E335" s="5">
        <v>7.35</v>
      </c>
      <c r="F335" s="4">
        <v>92</v>
      </c>
      <c r="G335" s="5">
        <v>2.0099999999999998</v>
      </c>
      <c r="H335" s="4">
        <v>2</v>
      </c>
    </row>
    <row r="336" spans="1:8" x14ac:dyDescent="0.2">
      <c r="A336" s="2" t="s">
        <v>84</v>
      </c>
      <c r="B336" s="4">
        <v>552</v>
      </c>
      <c r="C336" s="5">
        <v>5.55</v>
      </c>
      <c r="D336" s="4">
        <v>349</v>
      </c>
      <c r="E336" s="5">
        <v>6.53</v>
      </c>
      <c r="F336" s="4">
        <v>199</v>
      </c>
      <c r="G336" s="5">
        <v>4.3600000000000003</v>
      </c>
      <c r="H336" s="4">
        <v>0</v>
      </c>
    </row>
    <row r="337" spans="1:8" x14ac:dyDescent="0.2">
      <c r="A337" s="2" t="s">
        <v>85</v>
      </c>
      <c r="B337" s="4">
        <v>351</v>
      </c>
      <c r="C337" s="5">
        <v>3.53</v>
      </c>
      <c r="D337" s="4">
        <v>177</v>
      </c>
      <c r="E337" s="5">
        <v>3.31</v>
      </c>
      <c r="F337" s="4">
        <v>170</v>
      </c>
      <c r="G337" s="5">
        <v>3.72</v>
      </c>
      <c r="H337" s="4">
        <v>4</v>
      </c>
    </row>
    <row r="338" spans="1:8" x14ac:dyDescent="0.2">
      <c r="A338" s="1" t="s">
        <v>21</v>
      </c>
      <c r="B338" s="4">
        <v>2710</v>
      </c>
      <c r="C338" s="5">
        <v>100.00999999999999</v>
      </c>
      <c r="D338" s="4">
        <v>1236</v>
      </c>
      <c r="E338" s="5">
        <v>100</v>
      </c>
      <c r="F338" s="4">
        <v>1453</v>
      </c>
      <c r="G338" s="5">
        <v>99.990000000000009</v>
      </c>
      <c r="H338" s="4">
        <v>4</v>
      </c>
    </row>
    <row r="339" spans="1:8" x14ac:dyDescent="0.2">
      <c r="A339" s="2" t="s">
        <v>71</v>
      </c>
      <c r="B339" s="4">
        <v>8</v>
      </c>
      <c r="C339" s="5">
        <v>0.3</v>
      </c>
      <c r="D339" s="4">
        <v>0</v>
      </c>
      <c r="E339" s="5">
        <v>0</v>
      </c>
      <c r="F339" s="4">
        <v>8</v>
      </c>
      <c r="G339" s="5">
        <v>0.55000000000000004</v>
      </c>
      <c r="H339" s="4">
        <v>0</v>
      </c>
    </row>
    <row r="340" spans="1:8" x14ac:dyDescent="0.2">
      <c r="A340" s="2" t="s">
        <v>72</v>
      </c>
      <c r="B340" s="4">
        <v>349</v>
      </c>
      <c r="C340" s="5">
        <v>12.88</v>
      </c>
      <c r="D340" s="4">
        <v>90</v>
      </c>
      <c r="E340" s="5">
        <v>7.28</v>
      </c>
      <c r="F340" s="4">
        <v>259</v>
      </c>
      <c r="G340" s="5">
        <v>17.829999999999998</v>
      </c>
      <c r="H340" s="4">
        <v>0</v>
      </c>
    </row>
    <row r="341" spans="1:8" x14ac:dyDescent="0.2">
      <c r="A341" s="2" t="s">
        <v>73</v>
      </c>
      <c r="B341" s="4">
        <v>649</v>
      </c>
      <c r="C341" s="5">
        <v>23.95</v>
      </c>
      <c r="D341" s="4">
        <v>262</v>
      </c>
      <c r="E341" s="5">
        <v>21.2</v>
      </c>
      <c r="F341" s="4">
        <v>387</v>
      </c>
      <c r="G341" s="5">
        <v>26.63</v>
      </c>
      <c r="H341" s="4">
        <v>0</v>
      </c>
    </row>
    <row r="342" spans="1:8" x14ac:dyDescent="0.2">
      <c r="A342" s="2" t="s">
        <v>74</v>
      </c>
      <c r="B342" s="4">
        <v>4</v>
      </c>
      <c r="C342" s="5">
        <v>0.15</v>
      </c>
      <c r="D342" s="4">
        <v>1</v>
      </c>
      <c r="E342" s="5">
        <v>0.08</v>
      </c>
      <c r="F342" s="4">
        <v>2</v>
      </c>
      <c r="G342" s="5">
        <v>0.14000000000000001</v>
      </c>
      <c r="H342" s="4">
        <v>0</v>
      </c>
    </row>
    <row r="343" spans="1:8" x14ac:dyDescent="0.2">
      <c r="A343" s="2" t="s">
        <v>75</v>
      </c>
      <c r="B343" s="4">
        <v>18</v>
      </c>
      <c r="C343" s="5">
        <v>0.66</v>
      </c>
      <c r="D343" s="4">
        <v>2</v>
      </c>
      <c r="E343" s="5">
        <v>0.16</v>
      </c>
      <c r="F343" s="4">
        <v>16</v>
      </c>
      <c r="G343" s="5">
        <v>1.1000000000000001</v>
      </c>
      <c r="H343" s="4">
        <v>0</v>
      </c>
    </row>
    <row r="344" spans="1:8" x14ac:dyDescent="0.2">
      <c r="A344" s="2" t="s">
        <v>76</v>
      </c>
      <c r="B344" s="4">
        <v>33</v>
      </c>
      <c r="C344" s="5">
        <v>1.22</v>
      </c>
      <c r="D344" s="4">
        <v>3</v>
      </c>
      <c r="E344" s="5">
        <v>0.24</v>
      </c>
      <c r="F344" s="4">
        <v>30</v>
      </c>
      <c r="G344" s="5">
        <v>2.06</v>
      </c>
      <c r="H344" s="4">
        <v>0</v>
      </c>
    </row>
    <row r="345" spans="1:8" x14ac:dyDescent="0.2">
      <c r="A345" s="2" t="s">
        <v>77</v>
      </c>
      <c r="B345" s="4">
        <v>588</v>
      </c>
      <c r="C345" s="5">
        <v>21.7</v>
      </c>
      <c r="D345" s="4">
        <v>255</v>
      </c>
      <c r="E345" s="5">
        <v>20.63</v>
      </c>
      <c r="F345" s="4">
        <v>332</v>
      </c>
      <c r="G345" s="5">
        <v>22.85</v>
      </c>
      <c r="H345" s="4">
        <v>1</v>
      </c>
    </row>
    <row r="346" spans="1:8" x14ac:dyDescent="0.2">
      <c r="A346" s="2" t="s">
        <v>78</v>
      </c>
      <c r="B346" s="4">
        <v>13</v>
      </c>
      <c r="C346" s="5">
        <v>0.48</v>
      </c>
      <c r="D346" s="4">
        <v>2</v>
      </c>
      <c r="E346" s="5">
        <v>0.16</v>
      </c>
      <c r="F346" s="4">
        <v>11</v>
      </c>
      <c r="G346" s="5">
        <v>0.76</v>
      </c>
      <c r="H346" s="4">
        <v>0</v>
      </c>
    </row>
    <row r="347" spans="1:8" x14ac:dyDescent="0.2">
      <c r="A347" s="2" t="s">
        <v>79</v>
      </c>
      <c r="B347" s="4">
        <v>172</v>
      </c>
      <c r="C347" s="5">
        <v>6.35</v>
      </c>
      <c r="D347" s="4">
        <v>52</v>
      </c>
      <c r="E347" s="5">
        <v>4.21</v>
      </c>
      <c r="F347" s="4">
        <v>119</v>
      </c>
      <c r="G347" s="5">
        <v>8.19</v>
      </c>
      <c r="H347" s="4">
        <v>1</v>
      </c>
    </row>
    <row r="348" spans="1:8" x14ac:dyDescent="0.2">
      <c r="A348" s="2" t="s">
        <v>80</v>
      </c>
      <c r="B348" s="4">
        <v>112</v>
      </c>
      <c r="C348" s="5">
        <v>4.13</v>
      </c>
      <c r="D348" s="4">
        <v>54</v>
      </c>
      <c r="E348" s="5">
        <v>4.37</v>
      </c>
      <c r="F348" s="4">
        <v>58</v>
      </c>
      <c r="G348" s="5">
        <v>3.99</v>
      </c>
      <c r="H348" s="4">
        <v>0</v>
      </c>
    </row>
    <row r="349" spans="1:8" x14ac:dyDescent="0.2">
      <c r="A349" s="2" t="s">
        <v>81</v>
      </c>
      <c r="B349" s="4">
        <v>226</v>
      </c>
      <c r="C349" s="5">
        <v>8.34</v>
      </c>
      <c r="D349" s="4">
        <v>178</v>
      </c>
      <c r="E349" s="5">
        <v>14.4</v>
      </c>
      <c r="F349" s="4">
        <v>47</v>
      </c>
      <c r="G349" s="5">
        <v>3.23</v>
      </c>
      <c r="H349" s="4">
        <v>0</v>
      </c>
    </row>
    <row r="350" spans="1:8" x14ac:dyDescent="0.2">
      <c r="A350" s="2" t="s">
        <v>82</v>
      </c>
      <c r="B350" s="4">
        <v>245</v>
      </c>
      <c r="C350" s="5">
        <v>9.0399999999999991</v>
      </c>
      <c r="D350" s="4">
        <v>184</v>
      </c>
      <c r="E350" s="5">
        <v>14.89</v>
      </c>
      <c r="F350" s="4">
        <v>60</v>
      </c>
      <c r="G350" s="5">
        <v>4.13</v>
      </c>
      <c r="H350" s="4">
        <v>0</v>
      </c>
    </row>
    <row r="351" spans="1:8" x14ac:dyDescent="0.2">
      <c r="A351" s="2" t="s">
        <v>83</v>
      </c>
      <c r="B351" s="4">
        <v>96</v>
      </c>
      <c r="C351" s="5">
        <v>3.54</v>
      </c>
      <c r="D351" s="4">
        <v>57</v>
      </c>
      <c r="E351" s="5">
        <v>4.6100000000000003</v>
      </c>
      <c r="F351" s="4">
        <v>24</v>
      </c>
      <c r="G351" s="5">
        <v>1.65</v>
      </c>
      <c r="H351" s="4">
        <v>1</v>
      </c>
    </row>
    <row r="352" spans="1:8" x14ac:dyDescent="0.2">
      <c r="A352" s="2" t="s">
        <v>84</v>
      </c>
      <c r="B352" s="4">
        <v>97</v>
      </c>
      <c r="C352" s="5">
        <v>3.58</v>
      </c>
      <c r="D352" s="4">
        <v>65</v>
      </c>
      <c r="E352" s="5">
        <v>5.26</v>
      </c>
      <c r="F352" s="4">
        <v>32</v>
      </c>
      <c r="G352" s="5">
        <v>2.2000000000000002</v>
      </c>
      <c r="H352" s="4">
        <v>0</v>
      </c>
    </row>
    <row r="353" spans="1:8" x14ac:dyDescent="0.2">
      <c r="A353" s="2" t="s">
        <v>85</v>
      </c>
      <c r="B353" s="4">
        <v>100</v>
      </c>
      <c r="C353" s="5">
        <v>3.69</v>
      </c>
      <c r="D353" s="4">
        <v>31</v>
      </c>
      <c r="E353" s="5">
        <v>2.5099999999999998</v>
      </c>
      <c r="F353" s="4">
        <v>68</v>
      </c>
      <c r="G353" s="5">
        <v>4.68</v>
      </c>
      <c r="H353" s="4">
        <v>1</v>
      </c>
    </row>
    <row r="354" spans="1:8" x14ac:dyDescent="0.2">
      <c r="A354" s="1" t="s">
        <v>22</v>
      </c>
      <c r="B354" s="4">
        <v>2638</v>
      </c>
      <c r="C354" s="5">
        <v>100</v>
      </c>
      <c r="D354" s="4">
        <v>1365</v>
      </c>
      <c r="E354" s="5">
        <v>100.01000000000002</v>
      </c>
      <c r="F354" s="4">
        <v>1260</v>
      </c>
      <c r="G354" s="5">
        <v>100.02000000000004</v>
      </c>
      <c r="H354" s="4">
        <v>2</v>
      </c>
    </row>
    <row r="355" spans="1:8" x14ac:dyDescent="0.2">
      <c r="A355" s="2" t="s">
        <v>71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72</v>
      </c>
      <c r="B356" s="4">
        <v>353</v>
      </c>
      <c r="C356" s="5">
        <v>13.38</v>
      </c>
      <c r="D356" s="4">
        <v>80</v>
      </c>
      <c r="E356" s="5">
        <v>5.86</v>
      </c>
      <c r="F356" s="4">
        <v>273</v>
      </c>
      <c r="G356" s="5">
        <v>21.67</v>
      </c>
      <c r="H356" s="4">
        <v>0</v>
      </c>
    </row>
    <row r="357" spans="1:8" x14ac:dyDescent="0.2">
      <c r="A357" s="2" t="s">
        <v>73</v>
      </c>
      <c r="B357" s="4">
        <v>261</v>
      </c>
      <c r="C357" s="5">
        <v>9.89</v>
      </c>
      <c r="D357" s="4">
        <v>83</v>
      </c>
      <c r="E357" s="5">
        <v>6.08</v>
      </c>
      <c r="F357" s="4">
        <v>178</v>
      </c>
      <c r="G357" s="5">
        <v>14.13</v>
      </c>
      <c r="H357" s="4">
        <v>0</v>
      </c>
    </row>
    <row r="358" spans="1:8" x14ac:dyDescent="0.2">
      <c r="A358" s="2" t="s">
        <v>74</v>
      </c>
      <c r="B358" s="4">
        <v>4</v>
      </c>
      <c r="C358" s="5">
        <v>0.15</v>
      </c>
      <c r="D358" s="4">
        <v>0</v>
      </c>
      <c r="E358" s="5">
        <v>0</v>
      </c>
      <c r="F358" s="4">
        <v>4</v>
      </c>
      <c r="G358" s="5">
        <v>0.32</v>
      </c>
      <c r="H358" s="4">
        <v>0</v>
      </c>
    </row>
    <row r="359" spans="1:8" x14ac:dyDescent="0.2">
      <c r="A359" s="2" t="s">
        <v>75</v>
      </c>
      <c r="B359" s="4">
        <v>15</v>
      </c>
      <c r="C359" s="5">
        <v>0.56999999999999995</v>
      </c>
      <c r="D359" s="4">
        <v>1</v>
      </c>
      <c r="E359" s="5">
        <v>7.0000000000000007E-2</v>
      </c>
      <c r="F359" s="4">
        <v>14</v>
      </c>
      <c r="G359" s="5">
        <v>1.1100000000000001</v>
      </c>
      <c r="H359" s="4">
        <v>0</v>
      </c>
    </row>
    <row r="360" spans="1:8" x14ac:dyDescent="0.2">
      <c r="A360" s="2" t="s">
        <v>76</v>
      </c>
      <c r="B360" s="4">
        <v>23</v>
      </c>
      <c r="C360" s="5">
        <v>0.87</v>
      </c>
      <c r="D360" s="4">
        <v>3</v>
      </c>
      <c r="E360" s="5">
        <v>0.22</v>
      </c>
      <c r="F360" s="4">
        <v>20</v>
      </c>
      <c r="G360" s="5">
        <v>1.59</v>
      </c>
      <c r="H360" s="4">
        <v>0</v>
      </c>
    </row>
    <row r="361" spans="1:8" x14ac:dyDescent="0.2">
      <c r="A361" s="2" t="s">
        <v>77</v>
      </c>
      <c r="B361" s="4">
        <v>560</v>
      </c>
      <c r="C361" s="5">
        <v>21.23</v>
      </c>
      <c r="D361" s="4">
        <v>291</v>
      </c>
      <c r="E361" s="5">
        <v>21.32</v>
      </c>
      <c r="F361" s="4">
        <v>269</v>
      </c>
      <c r="G361" s="5">
        <v>21.35</v>
      </c>
      <c r="H361" s="4">
        <v>0</v>
      </c>
    </row>
    <row r="362" spans="1:8" x14ac:dyDescent="0.2">
      <c r="A362" s="2" t="s">
        <v>78</v>
      </c>
      <c r="B362" s="4">
        <v>24</v>
      </c>
      <c r="C362" s="5">
        <v>0.91</v>
      </c>
      <c r="D362" s="4">
        <v>2</v>
      </c>
      <c r="E362" s="5">
        <v>0.15</v>
      </c>
      <c r="F362" s="4">
        <v>22</v>
      </c>
      <c r="G362" s="5">
        <v>1.75</v>
      </c>
      <c r="H362" s="4">
        <v>0</v>
      </c>
    </row>
    <row r="363" spans="1:8" x14ac:dyDescent="0.2">
      <c r="A363" s="2" t="s">
        <v>79</v>
      </c>
      <c r="B363" s="4">
        <v>210</v>
      </c>
      <c r="C363" s="5">
        <v>7.96</v>
      </c>
      <c r="D363" s="4">
        <v>61</v>
      </c>
      <c r="E363" s="5">
        <v>4.47</v>
      </c>
      <c r="F363" s="4">
        <v>149</v>
      </c>
      <c r="G363" s="5">
        <v>11.83</v>
      </c>
      <c r="H363" s="4">
        <v>0</v>
      </c>
    </row>
    <row r="364" spans="1:8" x14ac:dyDescent="0.2">
      <c r="A364" s="2" t="s">
        <v>80</v>
      </c>
      <c r="B364" s="4">
        <v>160</v>
      </c>
      <c r="C364" s="5">
        <v>6.07</v>
      </c>
      <c r="D364" s="4">
        <v>113</v>
      </c>
      <c r="E364" s="5">
        <v>8.2799999999999994</v>
      </c>
      <c r="F364" s="4">
        <v>46</v>
      </c>
      <c r="G364" s="5">
        <v>3.65</v>
      </c>
      <c r="H364" s="4">
        <v>0</v>
      </c>
    </row>
    <row r="365" spans="1:8" x14ac:dyDescent="0.2">
      <c r="A365" s="2" t="s">
        <v>81</v>
      </c>
      <c r="B365" s="4">
        <v>343</v>
      </c>
      <c r="C365" s="5">
        <v>13</v>
      </c>
      <c r="D365" s="4">
        <v>274</v>
      </c>
      <c r="E365" s="5">
        <v>20.07</v>
      </c>
      <c r="F365" s="4">
        <v>68</v>
      </c>
      <c r="G365" s="5">
        <v>5.4</v>
      </c>
      <c r="H365" s="4">
        <v>0</v>
      </c>
    </row>
    <row r="366" spans="1:8" x14ac:dyDescent="0.2">
      <c r="A366" s="2" t="s">
        <v>82</v>
      </c>
      <c r="B366" s="4">
        <v>320</v>
      </c>
      <c r="C366" s="5">
        <v>12.13</v>
      </c>
      <c r="D366" s="4">
        <v>244</v>
      </c>
      <c r="E366" s="5">
        <v>17.88</v>
      </c>
      <c r="F366" s="4">
        <v>73</v>
      </c>
      <c r="G366" s="5">
        <v>5.79</v>
      </c>
      <c r="H366" s="4">
        <v>0</v>
      </c>
    </row>
    <row r="367" spans="1:8" x14ac:dyDescent="0.2">
      <c r="A367" s="2" t="s">
        <v>83</v>
      </c>
      <c r="B367" s="4">
        <v>136</v>
      </c>
      <c r="C367" s="5">
        <v>5.16</v>
      </c>
      <c r="D367" s="4">
        <v>101</v>
      </c>
      <c r="E367" s="5">
        <v>7.4</v>
      </c>
      <c r="F367" s="4">
        <v>35</v>
      </c>
      <c r="G367" s="5">
        <v>2.78</v>
      </c>
      <c r="H367" s="4">
        <v>0</v>
      </c>
    </row>
    <row r="368" spans="1:8" x14ac:dyDescent="0.2">
      <c r="A368" s="2" t="s">
        <v>84</v>
      </c>
      <c r="B368" s="4">
        <v>141</v>
      </c>
      <c r="C368" s="5">
        <v>5.34</v>
      </c>
      <c r="D368" s="4">
        <v>88</v>
      </c>
      <c r="E368" s="5">
        <v>6.45</v>
      </c>
      <c r="F368" s="4">
        <v>46</v>
      </c>
      <c r="G368" s="5">
        <v>3.65</v>
      </c>
      <c r="H368" s="4">
        <v>1</v>
      </c>
    </row>
    <row r="369" spans="1:8" x14ac:dyDescent="0.2">
      <c r="A369" s="2" t="s">
        <v>85</v>
      </c>
      <c r="B369" s="4">
        <v>88</v>
      </c>
      <c r="C369" s="5">
        <v>3.34</v>
      </c>
      <c r="D369" s="4">
        <v>24</v>
      </c>
      <c r="E369" s="5">
        <v>1.76</v>
      </c>
      <c r="F369" s="4">
        <v>63</v>
      </c>
      <c r="G369" s="5">
        <v>5</v>
      </c>
      <c r="H369" s="4">
        <v>1</v>
      </c>
    </row>
    <row r="370" spans="1:8" x14ac:dyDescent="0.2">
      <c r="A370" s="1" t="s">
        <v>23</v>
      </c>
      <c r="B370" s="4">
        <v>5592</v>
      </c>
      <c r="C370" s="5">
        <v>100.02</v>
      </c>
      <c r="D370" s="4">
        <v>2432</v>
      </c>
      <c r="E370" s="5">
        <v>99.990000000000009</v>
      </c>
      <c r="F370" s="4">
        <v>3154</v>
      </c>
      <c r="G370" s="5">
        <v>99.980000000000018</v>
      </c>
      <c r="H370" s="4">
        <v>3</v>
      </c>
    </row>
    <row r="371" spans="1:8" x14ac:dyDescent="0.2">
      <c r="A371" s="2" t="s">
        <v>71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72</v>
      </c>
      <c r="B372" s="4">
        <v>908</v>
      </c>
      <c r="C372" s="5">
        <v>16.239999999999998</v>
      </c>
      <c r="D372" s="4">
        <v>146</v>
      </c>
      <c r="E372" s="5">
        <v>6</v>
      </c>
      <c r="F372" s="4">
        <v>762</v>
      </c>
      <c r="G372" s="5">
        <v>24.16</v>
      </c>
      <c r="H372" s="4">
        <v>0</v>
      </c>
    </row>
    <row r="373" spans="1:8" x14ac:dyDescent="0.2">
      <c r="A373" s="2" t="s">
        <v>73</v>
      </c>
      <c r="B373" s="4">
        <v>718</v>
      </c>
      <c r="C373" s="5">
        <v>12.84</v>
      </c>
      <c r="D373" s="4">
        <v>170</v>
      </c>
      <c r="E373" s="5">
        <v>6.99</v>
      </c>
      <c r="F373" s="4">
        <v>547</v>
      </c>
      <c r="G373" s="5">
        <v>17.34</v>
      </c>
      <c r="H373" s="4">
        <v>1</v>
      </c>
    </row>
    <row r="374" spans="1:8" x14ac:dyDescent="0.2">
      <c r="A374" s="2" t="s">
        <v>74</v>
      </c>
      <c r="B374" s="4">
        <v>6</v>
      </c>
      <c r="C374" s="5">
        <v>0.11</v>
      </c>
      <c r="D374" s="4">
        <v>0</v>
      </c>
      <c r="E374" s="5">
        <v>0</v>
      </c>
      <c r="F374" s="4">
        <v>6</v>
      </c>
      <c r="G374" s="5">
        <v>0.19</v>
      </c>
      <c r="H374" s="4">
        <v>0</v>
      </c>
    </row>
    <row r="375" spans="1:8" x14ac:dyDescent="0.2">
      <c r="A375" s="2" t="s">
        <v>75</v>
      </c>
      <c r="B375" s="4">
        <v>40</v>
      </c>
      <c r="C375" s="5">
        <v>0.72</v>
      </c>
      <c r="D375" s="4">
        <v>2</v>
      </c>
      <c r="E375" s="5">
        <v>0.08</v>
      </c>
      <c r="F375" s="4">
        <v>38</v>
      </c>
      <c r="G375" s="5">
        <v>1.2</v>
      </c>
      <c r="H375" s="4">
        <v>0</v>
      </c>
    </row>
    <row r="376" spans="1:8" x14ac:dyDescent="0.2">
      <c r="A376" s="2" t="s">
        <v>76</v>
      </c>
      <c r="B376" s="4">
        <v>59</v>
      </c>
      <c r="C376" s="5">
        <v>1.06</v>
      </c>
      <c r="D376" s="4">
        <v>10</v>
      </c>
      <c r="E376" s="5">
        <v>0.41</v>
      </c>
      <c r="F376" s="4">
        <v>49</v>
      </c>
      <c r="G376" s="5">
        <v>1.55</v>
      </c>
      <c r="H376" s="4">
        <v>0</v>
      </c>
    </row>
    <row r="377" spans="1:8" x14ac:dyDescent="0.2">
      <c r="A377" s="2" t="s">
        <v>77</v>
      </c>
      <c r="B377" s="4">
        <v>1064</v>
      </c>
      <c r="C377" s="5">
        <v>19.03</v>
      </c>
      <c r="D377" s="4">
        <v>395</v>
      </c>
      <c r="E377" s="5">
        <v>16.239999999999998</v>
      </c>
      <c r="F377" s="4">
        <v>669</v>
      </c>
      <c r="G377" s="5">
        <v>21.21</v>
      </c>
      <c r="H377" s="4">
        <v>0</v>
      </c>
    </row>
    <row r="378" spans="1:8" x14ac:dyDescent="0.2">
      <c r="A378" s="2" t="s">
        <v>78</v>
      </c>
      <c r="B378" s="4">
        <v>40</v>
      </c>
      <c r="C378" s="5">
        <v>0.72</v>
      </c>
      <c r="D378" s="4">
        <v>4</v>
      </c>
      <c r="E378" s="5">
        <v>0.16</v>
      </c>
      <c r="F378" s="4">
        <v>36</v>
      </c>
      <c r="G378" s="5">
        <v>1.1399999999999999</v>
      </c>
      <c r="H378" s="4">
        <v>0</v>
      </c>
    </row>
    <row r="379" spans="1:8" x14ac:dyDescent="0.2">
      <c r="A379" s="2" t="s">
        <v>79</v>
      </c>
      <c r="B379" s="4">
        <v>399</v>
      </c>
      <c r="C379" s="5">
        <v>7.14</v>
      </c>
      <c r="D379" s="4">
        <v>95</v>
      </c>
      <c r="E379" s="5">
        <v>3.91</v>
      </c>
      <c r="F379" s="4">
        <v>303</v>
      </c>
      <c r="G379" s="5">
        <v>9.61</v>
      </c>
      <c r="H379" s="4">
        <v>0</v>
      </c>
    </row>
    <row r="380" spans="1:8" x14ac:dyDescent="0.2">
      <c r="A380" s="2" t="s">
        <v>80</v>
      </c>
      <c r="B380" s="4">
        <v>321</v>
      </c>
      <c r="C380" s="5">
        <v>5.74</v>
      </c>
      <c r="D380" s="4">
        <v>171</v>
      </c>
      <c r="E380" s="5">
        <v>7.03</v>
      </c>
      <c r="F380" s="4">
        <v>149</v>
      </c>
      <c r="G380" s="5">
        <v>4.72</v>
      </c>
      <c r="H380" s="4">
        <v>0</v>
      </c>
    </row>
    <row r="381" spans="1:8" x14ac:dyDescent="0.2">
      <c r="A381" s="2" t="s">
        <v>81</v>
      </c>
      <c r="B381" s="4">
        <v>640</v>
      </c>
      <c r="C381" s="5">
        <v>11.44</v>
      </c>
      <c r="D381" s="4">
        <v>490</v>
      </c>
      <c r="E381" s="5">
        <v>20.149999999999999</v>
      </c>
      <c r="F381" s="4">
        <v>149</v>
      </c>
      <c r="G381" s="5">
        <v>4.72</v>
      </c>
      <c r="H381" s="4">
        <v>0</v>
      </c>
    </row>
    <row r="382" spans="1:8" x14ac:dyDescent="0.2">
      <c r="A382" s="2" t="s">
        <v>82</v>
      </c>
      <c r="B382" s="4">
        <v>645</v>
      </c>
      <c r="C382" s="5">
        <v>11.53</v>
      </c>
      <c r="D382" s="4">
        <v>489</v>
      </c>
      <c r="E382" s="5">
        <v>20.11</v>
      </c>
      <c r="F382" s="4">
        <v>156</v>
      </c>
      <c r="G382" s="5">
        <v>4.95</v>
      </c>
      <c r="H382" s="4">
        <v>0</v>
      </c>
    </row>
    <row r="383" spans="1:8" x14ac:dyDescent="0.2">
      <c r="A383" s="2" t="s">
        <v>83</v>
      </c>
      <c r="B383" s="4">
        <v>292</v>
      </c>
      <c r="C383" s="5">
        <v>5.22</v>
      </c>
      <c r="D383" s="4">
        <v>219</v>
      </c>
      <c r="E383" s="5">
        <v>9</v>
      </c>
      <c r="F383" s="4">
        <v>73</v>
      </c>
      <c r="G383" s="5">
        <v>2.31</v>
      </c>
      <c r="H383" s="4">
        <v>0</v>
      </c>
    </row>
    <row r="384" spans="1:8" x14ac:dyDescent="0.2">
      <c r="A384" s="2" t="s">
        <v>84</v>
      </c>
      <c r="B384" s="4">
        <v>265</v>
      </c>
      <c r="C384" s="5">
        <v>4.74</v>
      </c>
      <c r="D384" s="4">
        <v>172</v>
      </c>
      <c r="E384" s="5">
        <v>7.07</v>
      </c>
      <c r="F384" s="4">
        <v>93</v>
      </c>
      <c r="G384" s="5">
        <v>2.95</v>
      </c>
      <c r="H384" s="4">
        <v>0</v>
      </c>
    </row>
    <row r="385" spans="1:8" x14ac:dyDescent="0.2">
      <c r="A385" s="2" t="s">
        <v>85</v>
      </c>
      <c r="B385" s="4">
        <v>195</v>
      </c>
      <c r="C385" s="5">
        <v>3.49</v>
      </c>
      <c r="D385" s="4">
        <v>69</v>
      </c>
      <c r="E385" s="5">
        <v>2.84</v>
      </c>
      <c r="F385" s="4">
        <v>124</v>
      </c>
      <c r="G385" s="5">
        <v>3.93</v>
      </c>
      <c r="H385" s="4">
        <v>2</v>
      </c>
    </row>
    <row r="386" spans="1:8" x14ac:dyDescent="0.2">
      <c r="A386" s="1" t="s">
        <v>24</v>
      </c>
      <c r="B386" s="4">
        <v>3713</v>
      </c>
      <c r="C386" s="5">
        <v>99.99</v>
      </c>
      <c r="D386" s="4">
        <v>1932</v>
      </c>
      <c r="E386" s="5">
        <v>100.01</v>
      </c>
      <c r="F386" s="4">
        <v>1760</v>
      </c>
      <c r="G386" s="5">
        <v>100.00999999999999</v>
      </c>
      <c r="H386" s="4">
        <v>6</v>
      </c>
    </row>
    <row r="387" spans="1:8" x14ac:dyDescent="0.2">
      <c r="A387" s="2" t="s">
        <v>71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72</v>
      </c>
      <c r="B388" s="4">
        <v>550</v>
      </c>
      <c r="C388" s="5">
        <v>14.81</v>
      </c>
      <c r="D388" s="4">
        <v>155</v>
      </c>
      <c r="E388" s="5">
        <v>8.02</v>
      </c>
      <c r="F388" s="4">
        <v>395</v>
      </c>
      <c r="G388" s="5">
        <v>22.44</v>
      </c>
      <c r="H388" s="4">
        <v>0</v>
      </c>
    </row>
    <row r="389" spans="1:8" x14ac:dyDescent="0.2">
      <c r="A389" s="2" t="s">
        <v>73</v>
      </c>
      <c r="B389" s="4">
        <v>505</v>
      </c>
      <c r="C389" s="5">
        <v>13.6</v>
      </c>
      <c r="D389" s="4">
        <v>146</v>
      </c>
      <c r="E389" s="5">
        <v>7.56</v>
      </c>
      <c r="F389" s="4">
        <v>359</v>
      </c>
      <c r="G389" s="5">
        <v>20.399999999999999</v>
      </c>
      <c r="H389" s="4">
        <v>0</v>
      </c>
    </row>
    <row r="390" spans="1:8" x14ac:dyDescent="0.2">
      <c r="A390" s="2" t="s">
        <v>74</v>
      </c>
      <c r="B390" s="4">
        <v>6</v>
      </c>
      <c r="C390" s="5">
        <v>0.16</v>
      </c>
      <c r="D390" s="4">
        <v>0</v>
      </c>
      <c r="E390" s="5">
        <v>0</v>
      </c>
      <c r="F390" s="4">
        <v>6</v>
      </c>
      <c r="G390" s="5">
        <v>0.34</v>
      </c>
      <c r="H390" s="4">
        <v>0</v>
      </c>
    </row>
    <row r="391" spans="1:8" x14ac:dyDescent="0.2">
      <c r="A391" s="2" t="s">
        <v>75</v>
      </c>
      <c r="B391" s="4">
        <v>22</v>
      </c>
      <c r="C391" s="5">
        <v>0.59</v>
      </c>
      <c r="D391" s="4">
        <v>2</v>
      </c>
      <c r="E391" s="5">
        <v>0.1</v>
      </c>
      <c r="F391" s="4">
        <v>20</v>
      </c>
      <c r="G391" s="5">
        <v>1.1399999999999999</v>
      </c>
      <c r="H391" s="4">
        <v>0</v>
      </c>
    </row>
    <row r="392" spans="1:8" x14ac:dyDescent="0.2">
      <c r="A392" s="2" t="s">
        <v>76</v>
      </c>
      <c r="B392" s="4">
        <v>36</v>
      </c>
      <c r="C392" s="5">
        <v>0.97</v>
      </c>
      <c r="D392" s="4">
        <v>8</v>
      </c>
      <c r="E392" s="5">
        <v>0.41</v>
      </c>
      <c r="F392" s="4">
        <v>26</v>
      </c>
      <c r="G392" s="5">
        <v>1.48</v>
      </c>
      <c r="H392" s="4">
        <v>1</v>
      </c>
    </row>
    <row r="393" spans="1:8" x14ac:dyDescent="0.2">
      <c r="A393" s="2" t="s">
        <v>77</v>
      </c>
      <c r="B393" s="4">
        <v>860</v>
      </c>
      <c r="C393" s="5">
        <v>23.16</v>
      </c>
      <c r="D393" s="4">
        <v>443</v>
      </c>
      <c r="E393" s="5">
        <v>22.93</v>
      </c>
      <c r="F393" s="4">
        <v>413</v>
      </c>
      <c r="G393" s="5">
        <v>23.47</v>
      </c>
      <c r="H393" s="4">
        <v>4</v>
      </c>
    </row>
    <row r="394" spans="1:8" x14ac:dyDescent="0.2">
      <c r="A394" s="2" t="s">
        <v>78</v>
      </c>
      <c r="B394" s="4">
        <v>22</v>
      </c>
      <c r="C394" s="5">
        <v>0.59</v>
      </c>
      <c r="D394" s="4">
        <v>4</v>
      </c>
      <c r="E394" s="5">
        <v>0.21</v>
      </c>
      <c r="F394" s="4">
        <v>18</v>
      </c>
      <c r="G394" s="5">
        <v>1.02</v>
      </c>
      <c r="H394" s="4">
        <v>0</v>
      </c>
    </row>
    <row r="395" spans="1:8" x14ac:dyDescent="0.2">
      <c r="A395" s="2" t="s">
        <v>79</v>
      </c>
      <c r="B395" s="4">
        <v>209</v>
      </c>
      <c r="C395" s="5">
        <v>5.63</v>
      </c>
      <c r="D395" s="4">
        <v>60</v>
      </c>
      <c r="E395" s="5">
        <v>3.11</v>
      </c>
      <c r="F395" s="4">
        <v>147</v>
      </c>
      <c r="G395" s="5">
        <v>8.35</v>
      </c>
      <c r="H395" s="4">
        <v>1</v>
      </c>
    </row>
    <row r="396" spans="1:8" x14ac:dyDescent="0.2">
      <c r="A396" s="2" t="s">
        <v>80</v>
      </c>
      <c r="B396" s="4">
        <v>184</v>
      </c>
      <c r="C396" s="5">
        <v>4.96</v>
      </c>
      <c r="D396" s="4">
        <v>107</v>
      </c>
      <c r="E396" s="5">
        <v>5.54</v>
      </c>
      <c r="F396" s="4">
        <v>73</v>
      </c>
      <c r="G396" s="5">
        <v>4.1500000000000004</v>
      </c>
      <c r="H396" s="4">
        <v>0</v>
      </c>
    </row>
    <row r="397" spans="1:8" x14ac:dyDescent="0.2">
      <c r="A397" s="2" t="s">
        <v>81</v>
      </c>
      <c r="B397" s="4">
        <v>360</v>
      </c>
      <c r="C397" s="5">
        <v>9.6999999999999993</v>
      </c>
      <c r="D397" s="4">
        <v>293</v>
      </c>
      <c r="E397" s="5">
        <v>15.17</v>
      </c>
      <c r="F397" s="4">
        <v>66</v>
      </c>
      <c r="G397" s="5">
        <v>3.75</v>
      </c>
      <c r="H397" s="4">
        <v>0</v>
      </c>
    </row>
    <row r="398" spans="1:8" x14ac:dyDescent="0.2">
      <c r="A398" s="2" t="s">
        <v>82</v>
      </c>
      <c r="B398" s="4">
        <v>501</v>
      </c>
      <c r="C398" s="5">
        <v>13.49</v>
      </c>
      <c r="D398" s="4">
        <v>419</v>
      </c>
      <c r="E398" s="5">
        <v>21.69</v>
      </c>
      <c r="F398" s="4">
        <v>82</v>
      </c>
      <c r="G398" s="5">
        <v>4.66</v>
      </c>
      <c r="H398" s="4">
        <v>0</v>
      </c>
    </row>
    <row r="399" spans="1:8" x14ac:dyDescent="0.2">
      <c r="A399" s="2" t="s">
        <v>83</v>
      </c>
      <c r="B399" s="4">
        <v>182</v>
      </c>
      <c r="C399" s="5">
        <v>4.9000000000000004</v>
      </c>
      <c r="D399" s="4">
        <v>146</v>
      </c>
      <c r="E399" s="5">
        <v>7.56</v>
      </c>
      <c r="F399" s="4">
        <v>35</v>
      </c>
      <c r="G399" s="5">
        <v>1.99</v>
      </c>
      <c r="H399" s="4">
        <v>0</v>
      </c>
    </row>
    <row r="400" spans="1:8" x14ac:dyDescent="0.2">
      <c r="A400" s="2" t="s">
        <v>84</v>
      </c>
      <c r="B400" s="4">
        <v>165</v>
      </c>
      <c r="C400" s="5">
        <v>4.4400000000000004</v>
      </c>
      <c r="D400" s="4">
        <v>102</v>
      </c>
      <c r="E400" s="5">
        <v>5.28</v>
      </c>
      <c r="F400" s="4">
        <v>58</v>
      </c>
      <c r="G400" s="5">
        <v>3.3</v>
      </c>
      <c r="H400" s="4">
        <v>0</v>
      </c>
    </row>
    <row r="401" spans="1:8" x14ac:dyDescent="0.2">
      <c r="A401" s="2" t="s">
        <v>85</v>
      </c>
      <c r="B401" s="4">
        <v>111</v>
      </c>
      <c r="C401" s="5">
        <v>2.99</v>
      </c>
      <c r="D401" s="4">
        <v>47</v>
      </c>
      <c r="E401" s="5">
        <v>2.4300000000000002</v>
      </c>
      <c r="F401" s="4">
        <v>62</v>
      </c>
      <c r="G401" s="5">
        <v>3.52</v>
      </c>
      <c r="H401" s="4">
        <v>0</v>
      </c>
    </row>
    <row r="402" spans="1:8" x14ac:dyDescent="0.2">
      <c r="A402" s="1" t="s">
        <v>25</v>
      </c>
      <c r="B402" s="4">
        <v>1546</v>
      </c>
      <c r="C402" s="5">
        <v>99.99</v>
      </c>
      <c r="D402" s="4">
        <v>794</v>
      </c>
      <c r="E402" s="5">
        <v>100.00999999999999</v>
      </c>
      <c r="F402" s="4">
        <v>736</v>
      </c>
      <c r="G402" s="5">
        <v>100.00999999999999</v>
      </c>
      <c r="H402" s="4">
        <v>10</v>
      </c>
    </row>
    <row r="403" spans="1:8" x14ac:dyDescent="0.2">
      <c r="A403" s="2" t="s">
        <v>71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72</v>
      </c>
      <c r="B404" s="4">
        <v>202</v>
      </c>
      <c r="C404" s="5">
        <v>13.07</v>
      </c>
      <c r="D404" s="4">
        <v>59</v>
      </c>
      <c r="E404" s="5">
        <v>7.43</v>
      </c>
      <c r="F404" s="4">
        <v>143</v>
      </c>
      <c r="G404" s="5">
        <v>19.43</v>
      </c>
      <c r="H404" s="4">
        <v>0</v>
      </c>
    </row>
    <row r="405" spans="1:8" x14ac:dyDescent="0.2">
      <c r="A405" s="2" t="s">
        <v>73</v>
      </c>
      <c r="B405" s="4">
        <v>211</v>
      </c>
      <c r="C405" s="5">
        <v>13.65</v>
      </c>
      <c r="D405" s="4">
        <v>75</v>
      </c>
      <c r="E405" s="5">
        <v>9.4499999999999993</v>
      </c>
      <c r="F405" s="4">
        <v>136</v>
      </c>
      <c r="G405" s="5">
        <v>18.48</v>
      </c>
      <c r="H405" s="4">
        <v>0</v>
      </c>
    </row>
    <row r="406" spans="1:8" x14ac:dyDescent="0.2">
      <c r="A406" s="2" t="s">
        <v>74</v>
      </c>
      <c r="B406" s="4">
        <v>3</v>
      </c>
      <c r="C406" s="5">
        <v>0.19</v>
      </c>
      <c r="D406" s="4">
        <v>0</v>
      </c>
      <c r="E406" s="5">
        <v>0</v>
      </c>
      <c r="F406" s="4">
        <v>1</v>
      </c>
      <c r="G406" s="5">
        <v>0.14000000000000001</v>
      </c>
      <c r="H406" s="4">
        <v>0</v>
      </c>
    </row>
    <row r="407" spans="1:8" x14ac:dyDescent="0.2">
      <c r="A407" s="2" t="s">
        <v>75</v>
      </c>
      <c r="B407" s="4">
        <v>8</v>
      </c>
      <c r="C407" s="5">
        <v>0.52</v>
      </c>
      <c r="D407" s="4">
        <v>0</v>
      </c>
      <c r="E407" s="5">
        <v>0</v>
      </c>
      <c r="F407" s="4">
        <v>8</v>
      </c>
      <c r="G407" s="5">
        <v>1.0900000000000001</v>
      </c>
      <c r="H407" s="4">
        <v>0</v>
      </c>
    </row>
    <row r="408" spans="1:8" x14ac:dyDescent="0.2">
      <c r="A408" s="2" t="s">
        <v>76</v>
      </c>
      <c r="B408" s="4">
        <v>9</v>
      </c>
      <c r="C408" s="5">
        <v>0.57999999999999996</v>
      </c>
      <c r="D408" s="4">
        <v>0</v>
      </c>
      <c r="E408" s="5">
        <v>0</v>
      </c>
      <c r="F408" s="4">
        <v>9</v>
      </c>
      <c r="G408" s="5">
        <v>1.22</v>
      </c>
      <c r="H408" s="4">
        <v>0</v>
      </c>
    </row>
    <row r="409" spans="1:8" x14ac:dyDescent="0.2">
      <c r="A409" s="2" t="s">
        <v>77</v>
      </c>
      <c r="B409" s="4">
        <v>372</v>
      </c>
      <c r="C409" s="5">
        <v>24.06</v>
      </c>
      <c r="D409" s="4">
        <v>168</v>
      </c>
      <c r="E409" s="5">
        <v>21.16</v>
      </c>
      <c r="F409" s="4">
        <v>204</v>
      </c>
      <c r="G409" s="5">
        <v>27.72</v>
      </c>
      <c r="H409" s="4">
        <v>0</v>
      </c>
    </row>
    <row r="410" spans="1:8" x14ac:dyDescent="0.2">
      <c r="A410" s="2" t="s">
        <v>78</v>
      </c>
      <c r="B410" s="4">
        <v>15</v>
      </c>
      <c r="C410" s="5">
        <v>0.97</v>
      </c>
      <c r="D410" s="4">
        <v>2</v>
      </c>
      <c r="E410" s="5">
        <v>0.25</v>
      </c>
      <c r="F410" s="4">
        <v>13</v>
      </c>
      <c r="G410" s="5">
        <v>1.77</v>
      </c>
      <c r="H410" s="4">
        <v>0</v>
      </c>
    </row>
    <row r="411" spans="1:8" x14ac:dyDescent="0.2">
      <c r="A411" s="2" t="s">
        <v>79</v>
      </c>
      <c r="B411" s="4">
        <v>126</v>
      </c>
      <c r="C411" s="5">
        <v>8.15</v>
      </c>
      <c r="D411" s="4">
        <v>51</v>
      </c>
      <c r="E411" s="5">
        <v>6.42</v>
      </c>
      <c r="F411" s="4">
        <v>75</v>
      </c>
      <c r="G411" s="5">
        <v>10.19</v>
      </c>
      <c r="H411" s="4">
        <v>0</v>
      </c>
    </row>
    <row r="412" spans="1:8" x14ac:dyDescent="0.2">
      <c r="A412" s="2" t="s">
        <v>80</v>
      </c>
      <c r="B412" s="4">
        <v>59</v>
      </c>
      <c r="C412" s="5">
        <v>3.82</v>
      </c>
      <c r="D412" s="4">
        <v>33</v>
      </c>
      <c r="E412" s="5">
        <v>4.16</v>
      </c>
      <c r="F412" s="4">
        <v>26</v>
      </c>
      <c r="G412" s="5">
        <v>3.53</v>
      </c>
      <c r="H412" s="4">
        <v>0</v>
      </c>
    </row>
    <row r="413" spans="1:8" x14ac:dyDescent="0.2">
      <c r="A413" s="2" t="s">
        <v>81</v>
      </c>
      <c r="B413" s="4">
        <v>137</v>
      </c>
      <c r="C413" s="5">
        <v>8.86</v>
      </c>
      <c r="D413" s="4">
        <v>112</v>
      </c>
      <c r="E413" s="5">
        <v>14.11</v>
      </c>
      <c r="F413" s="4">
        <v>22</v>
      </c>
      <c r="G413" s="5">
        <v>2.99</v>
      </c>
      <c r="H413" s="4">
        <v>0</v>
      </c>
    </row>
    <row r="414" spans="1:8" x14ac:dyDescent="0.2">
      <c r="A414" s="2" t="s">
        <v>82</v>
      </c>
      <c r="B414" s="4">
        <v>161</v>
      </c>
      <c r="C414" s="5">
        <v>10.41</v>
      </c>
      <c r="D414" s="4">
        <v>127</v>
      </c>
      <c r="E414" s="5">
        <v>15.99</v>
      </c>
      <c r="F414" s="4">
        <v>34</v>
      </c>
      <c r="G414" s="5">
        <v>4.62</v>
      </c>
      <c r="H414" s="4">
        <v>0</v>
      </c>
    </row>
    <row r="415" spans="1:8" x14ac:dyDescent="0.2">
      <c r="A415" s="2" t="s">
        <v>83</v>
      </c>
      <c r="B415" s="4">
        <v>97</v>
      </c>
      <c r="C415" s="5">
        <v>6.27</v>
      </c>
      <c r="D415" s="4">
        <v>84</v>
      </c>
      <c r="E415" s="5">
        <v>10.58</v>
      </c>
      <c r="F415" s="4">
        <v>12</v>
      </c>
      <c r="G415" s="5">
        <v>1.63</v>
      </c>
      <c r="H415" s="4">
        <v>0</v>
      </c>
    </row>
    <row r="416" spans="1:8" x14ac:dyDescent="0.2">
      <c r="A416" s="2" t="s">
        <v>84</v>
      </c>
      <c r="B416" s="4">
        <v>84</v>
      </c>
      <c r="C416" s="5">
        <v>5.43</v>
      </c>
      <c r="D416" s="4">
        <v>55</v>
      </c>
      <c r="E416" s="5">
        <v>6.93</v>
      </c>
      <c r="F416" s="4">
        <v>26</v>
      </c>
      <c r="G416" s="5">
        <v>3.53</v>
      </c>
      <c r="H416" s="4">
        <v>3</v>
      </c>
    </row>
    <row r="417" spans="1:8" x14ac:dyDescent="0.2">
      <c r="A417" s="2" t="s">
        <v>85</v>
      </c>
      <c r="B417" s="4">
        <v>62</v>
      </c>
      <c r="C417" s="5">
        <v>4.01</v>
      </c>
      <c r="D417" s="4">
        <v>28</v>
      </c>
      <c r="E417" s="5">
        <v>3.53</v>
      </c>
      <c r="F417" s="4">
        <v>27</v>
      </c>
      <c r="G417" s="5">
        <v>3.67</v>
      </c>
      <c r="H417" s="4">
        <v>7</v>
      </c>
    </row>
    <row r="418" spans="1:8" x14ac:dyDescent="0.2">
      <c r="A418" s="1" t="s">
        <v>26</v>
      </c>
      <c r="B418" s="4">
        <v>1780</v>
      </c>
      <c r="C418" s="5">
        <v>100</v>
      </c>
      <c r="D418" s="4">
        <v>1020</v>
      </c>
      <c r="E418" s="5">
        <v>99.99</v>
      </c>
      <c r="F418" s="4">
        <v>748</v>
      </c>
      <c r="G418" s="5">
        <v>99.99</v>
      </c>
      <c r="H418" s="4">
        <v>0</v>
      </c>
    </row>
    <row r="419" spans="1:8" x14ac:dyDescent="0.2">
      <c r="A419" s="2" t="s">
        <v>71</v>
      </c>
      <c r="B419" s="4">
        <v>1</v>
      </c>
      <c r="C419" s="5">
        <v>0.06</v>
      </c>
      <c r="D419" s="4">
        <v>0</v>
      </c>
      <c r="E419" s="5">
        <v>0</v>
      </c>
      <c r="F419" s="4">
        <v>1</v>
      </c>
      <c r="G419" s="5">
        <v>0.13</v>
      </c>
      <c r="H419" s="4">
        <v>0</v>
      </c>
    </row>
    <row r="420" spans="1:8" x14ac:dyDescent="0.2">
      <c r="A420" s="2" t="s">
        <v>72</v>
      </c>
      <c r="B420" s="4">
        <v>269</v>
      </c>
      <c r="C420" s="5">
        <v>15.11</v>
      </c>
      <c r="D420" s="4">
        <v>129</v>
      </c>
      <c r="E420" s="5">
        <v>12.65</v>
      </c>
      <c r="F420" s="4">
        <v>140</v>
      </c>
      <c r="G420" s="5">
        <v>18.72</v>
      </c>
      <c r="H420" s="4">
        <v>0</v>
      </c>
    </row>
    <row r="421" spans="1:8" x14ac:dyDescent="0.2">
      <c r="A421" s="2" t="s">
        <v>73</v>
      </c>
      <c r="B421" s="4">
        <v>357</v>
      </c>
      <c r="C421" s="5">
        <v>20.059999999999999</v>
      </c>
      <c r="D421" s="4">
        <v>156</v>
      </c>
      <c r="E421" s="5">
        <v>15.29</v>
      </c>
      <c r="F421" s="4">
        <v>201</v>
      </c>
      <c r="G421" s="5">
        <v>26.87</v>
      </c>
      <c r="H421" s="4">
        <v>0</v>
      </c>
    </row>
    <row r="422" spans="1:8" x14ac:dyDescent="0.2">
      <c r="A422" s="2" t="s">
        <v>74</v>
      </c>
      <c r="B422" s="4">
        <v>5</v>
      </c>
      <c r="C422" s="5">
        <v>0.28000000000000003</v>
      </c>
      <c r="D422" s="4">
        <v>0</v>
      </c>
      <c r="E422" s="5">
        <v>0</v>
      </c>
      <c r="F422" s="4">
        <v>4</v>
      </c>
      <c r="G422" s="5">
        <v>0.53</v>
      </c>
      <c r="H422" s="4">
        <v>0</v>
      </c>
    </row>
    <row r="423" spans="1:8" x14ac:dyDescent="0.2">
      <c r="A423" s="2" t="s">
        <v>75</v>
      </c>
      <c r="B423" s="4">
        <v>8</v>
      </c>
      <c r="C423" s="5">
        <v>0.45</v>
      </c>
      <c r="D423" s="4">
        <v>2</v>
      </c>
      <c r="E423" s="5">
        <v>0.2</v>
      </c>
      <c r="F423" s="4">
        <v>6</v>
      </c>
      <c r="G423" s="5">
        <v>0.8</v>
      </c>
      <c r="H423" s="4">
        <v>0</v>
      </c>
    </row>
    <row r="424" spans="1:8" x14ac:dyDescent="0.2">
      <c r="A424" s="2" t="s">
        <v>76</v>
      </c>
      <c r="B424" s="4">
        <v>27</v>
      </c>
      <c r="C424" s="5">
        <v>1.52</v>
      </c>
      <c r="D424" s="4">
        <v>3</v>
      </c>
      <c r="E424" s="5">
        <v>0.28999999999999998</v>
      </c>
      <c r="F424" s="4">
        <v>24</v>
      </c>
      <c r="G424" s="5">
        <v>3.21</v>
      </c>
      <c r="H424" s="4">
        <v>0</v>
      </c>
    </row>
    <row r="425" spans="1:8" x14ac:dyDescent="0.2">
      <c r="A425" s="2" t="s">
        <v>77</v>
      </c>
      <c r="B425" s="4">
        <v>380</v>
      </c>
      <c r="C425" s="5">
        <v>21.35</v>
      </c>
      <c r="D425" s="4">
        <v>224</v>
      </c>
      <c r="E425" s="5">
        <v>21.96</v>
      </c>
      <c r="F425" s="4">
        <v>156</v>
      </c>
      <c r="G425" s="5">
        <v>20.86</v>
      </c>
      <c r="H425" s="4">
        <v>0</v>
      </c>
    </row>
    <row r="426" spans="1:8" x14ac:dyDescent="0.2">
      <c r="A426" s="2" t="s">
        <v>78</v>
      </c>
      <c r="B426" s="4">
        <v>9</v>
      </c>
      <c r="C426" s="5">
        <v>0.51</v>
      </c>
      <c r="D426" s="4">
        <v>4</v>
      </c>
      <c r="E426" s="5">
        <v>0.39</v>
      </c>
      <c r="F426" s="4">
        <v>5</v>
      </c>
      <c r="G426" s="5">
        <v>0.67</v>
      </c>
      <c r="H426" s="4">
        <v>0</v>
      </c>
    </row>
    <row r="427" spans="1:8" x14ac:dyDescent="0.2">
      <c r="A427" s="2" t="s">
        <v>79</v>
      </c>
      <c r="B427" s="4">
        <v>125</v>
      </c>
      <c r="C427" s="5">
        <v>7.02</v>
      </c>
      <c r="D427" s="4">
        <v>51</v>
      </c>
      <c r="E427" s="5">
        <v>5</v>
      </c>
      <c r="F427" s="4">
        <v>74</v>
      </c>
      <c r="G427" s="5">
        <v>9.89</v>
      </c>
      <c r="H427" s="4">
        <v>0</v>
      </c>
    </row>
    <row r="428" spans="1:8" x14ac:dyDescent="0.2">
      <c r="A428" s="2" t="s">
        <v>80</v>
      </c>
      <c r="B428" s="4">
        <v>70</v>
      </c>
      <c r="C428" s="5">
        <v>3.93</v>
      </c>
      <c r="D428" s="4">
        <v>54</v>
      </c>
      <c r="E428" s="5">
        <v>5.29</v>
      </c>
      <c r="F428" s="4">
        <v>16</v>
      </c>
      <c r="G428" s="5">
        <v>2.14</v>
      </c>
      <c r="H428" s="4">
        <v>0</v>
      </c>
    </row>
    <row r="429" spans="1:8" x14ac:dyDescent="0.2">
      <c r="A429" s="2" t="s">
        <v>81</v>
      </c>
      <c r="B429" s="4">
        <v>122</v>
      </c>
      <c r="C429" s="5">
        <v>6.85</v>
      </c>
      <c r="D429" s="4">
        <v>100</v>
      </c>
      <c r="E429" s="5">
        <v>9.8000000000000007</v>
      </c>
      <c r="F429" s="4">
        <v>20</v>
      </c>
      <c r="G429" s="5">
        <v>2.67</v>
      </c>
      <c r="H429" s="4">
        <v>0</v>
      </c>
    </row>
    <row r="430" spans="1:8" x14ac:dyDescent="0.2">
      <c r="A430" s="2" t="s">
        <v>82</v>
      </c>
      <c r="B430" s="4">
        <v>176</v>
      </c>
      <c r="C430" s="5">
        <v>9.89</v>
      </c>
      <c r="D430" s="4">
        <v>147</v>
      </c>
      <c r="E430" s="5">
        <v>14.41</v>
      </c>
      <c r="F430" s="4">
        <v>28</v>
      </c>
      <c r="G430" s="5">
        <v>3.74</v>
      </c>
      <c r="H430" s="4">
        <v>0</v>
      </c>
    </row>
    <row r="431" spans="1:8" x14ac:dyDescent="0.2">
      <c r="A431" s="2" t="s">
        <v>83</v>
      </c>
      <c r="B431" s="4">
        <v>81</v>
      </c>
      <c r="C431" s="5">
        <v>4.55</v>
      </c>
      <c r="D431" s="4">
        <v>62</v>
      </c>
      <c r="E431" s="5">
        <v>6.08</v>
      </c>
      <c r="F431" s="4">
        <v>13</v>
      </c>
      <c r="G431" s="5">
        <v>1.74</v>
      </c>
      <c r="H431" s="4">
        <v>0</v>
      </c>
    </row>
    <row r="432" spans="1:8" x14ac:dyDescent="0.2">
      <c r="A432" s="2" t="s">
        <v>84</v>
      </c>
      <c r="B432" s="4">
        <v>88</v>
      </c>
      <c r="C432" s="5">
        <v>4.9400000000000004</v>
      </c>
      <c r="D432" s="4">
        <v>56</v>
      </c>
      <c r="E432" s="5">
        <v>5.49</v>
      </c>
      <c r="F432" s="4">
        <v>31</v>
      </c>
      <c r="G432" s="5">
        <v>4.1399999999999997</v>
      </c>
      <c r="H432" s="4">
        <v>0</v>
      </c>
    </row>
    <row r="433" spans="1:8" x14ac:dyDescent="0.2">
      <c r="A433" s="2" t="s">
        <v>85</v>
      </c>
      <c r="B433" s="4">
        <v>62</v>
      </c>
      <c r="C433" s="5">
        <v>3.48</v>
      </c>
      <c r="D433" s="4">
        <v>32</v>
      </c>
      <c r="E433" s="5">
        <v>3.14</v>
      </c>
      <c r="F433" s="4">
        <v>29</v>
      </c>
      <c r="G433" s="5">
        <v>3.88</v>
      </c>
      <c r="H433" s="4">
        <v>0</v>
      </c>
    </row>
    <row r="434" spans="1:8" x14ac:dyDescent="0.2">
      <c r="A434" s="1" t="s">
        <v>27</v>
      </c>
      <c r="B434" s="4">
        <v>2655</v>
      </c>
      <c r="C434" s="5">
        <v>100.00999999999998</v>
      </c>
      <c r="D434" s="4">
        <v>1180</v>
      </c>
      <c r="E434" s="5">
        <v>99.97</v>
      </c>
      <c r="F434" s="4">
        <v>1470</v>
      </c>
      <c r="G434" s="5">
        <v>99.990000000000009</v>
      </c>
      <c r="H434" s="4">
        <v>1</v>
      </c>
    </row>
    <row r="435" spans="1:8" x14ac:dyDescent="0.2">
      <c r="A435" s="2" t="s">
        <v>71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72</v>
      </c>
      <c r="B436" s="4">
        <v>306</v>
      </c>
      <c r="C436" s="5">
        <v>11.53</v>
      </c>
      <c r="D436" s="4">
        <v>70</v>
      </c>
      <c r="E436" s="5">
        <v>5.93</v>
      </c>
      <c r="F436" s="4">
        <v>236</v>
      </c>
      <c r="G436" s="5">
        <v>16.05</v>
      </c>
      <c r="H436" s="4">
        <v>0</v>
      </c>
    </row>
    <row r="437" spans="1:8" x14ac:dyDescent="0.2">
      <c r="A437" s="2" t="s">
        <v>73</v>
      </c>
      <c r="B437" s="4">
        <v>321</v>
      </c>
      <c r="C437" s="5">
        <v>12.09</v>
      </c>
      <c r="D437" s="4">
        <v>80</v>
      </c>
      <c r="E437" s="5">
        <v>6.78</v>
      </c>
      <c r="F437" s="4">
        <v>241</v>
      </c>
      <c r="G437" s="5">
        <v>16.39</v>
      </c>
      <c r="H437" s="4">
        <v>0</v>
      </c>
    </row>
    <row r="438" spans="1:8" x14ac:dyDescent="0.2">
      <c r="A438" s="2" t="s">
        <v>74</v>
      </c>
      <c r="B438" s="4">
        <v>2</v>
      </c>
      <c r="C438" s="5">
        <v>0.08</v>
      </c>
      <c r="D438" s="4">
        <v>0</v>
      </c>
      <c r="E438" s="5">
        <v>0</v>
      </c>
      <c r="F438" s="4">
        <v>2</v>
      </c>
      <c r="G438" s="5">
        <v>0.14000000000000001</v>
      </c>
      <c r="H438" s="4">
        <v>0</v>
      </c>
    </row>
    <row r="439" spans="1:8" x14ac:dyDescent="0.2">
      <c r="A439" s="2" t="s">
        <v>75</v>
      </c>
      <c r="B439" s="4">
        <v>24</v>
      </c>
      <c r="C439" s="5">
        <v>0.9</v>
      </c>
      <c r="D439" s="4">
        <v>1</v>
      </c>
      <c r="E439" s="5">
        <v>0.08</v>
      </c>
      <c r="F439" s="4">
        <v>23</v>
      </c>
      <c r="G439" s="5">
        <v>1.56</v>
      </c>
      <c r="H439" s="4">
        <v>0</v>
      </c>
    </row>
    <row r="440" spans="1:8" x14ac:dyDescent="0.2">
      <c r="A440" s="2" t="s">
        <v>76</v>
      </c>
      <c r="B440" s="4">
        <v>17</v>
      </c>
      <c r="C440" s="5">
        <v>0.64</v>
      </c>
      <c r="D440" s="4">
        <v>1</v>
      </c>
      <c r="E440" s="5">
        <v>0.08</v>
      </c>
      <c r="F440" s="4">
        <v>16</v>
      </c>
      <c r="G440" s="5">
        <v>1.0900000000000001</v>
      </c>
      <c r="H440" s="4">
        <v>0</v>
      </c>
    </row>
    <row r="441" spans="1:8" x14ac:dyDescent="0.2">
      <c r="A441" s="2" t="s">
        <v>77</v>
      </c>
      <c r="B441" s="4">
        <v>544</v>
      </c>
      <c r="C441" s="5">
        <v>20.49</v>
      </c>
      <c r="D441" s="4">
        <v>214</v>
      </c>
      <c r="E441" s="5">
        <v>18.14</v>
      </c>
      <c r="F441" s="4">
        <v>330</v>
      </c>
      <c r="G441" s="5">
        <v>22.45</v>
      </c>
      <c r="H441" s="4">
        <v>0</v>
      </c>
    </row>
    <row r="442" spans="1:8" x14ac:dyDescent="0.2">
      <c r="A442" s="2" t="s">
        <v>78</v>
      </c>
      <c r="B442" s="4">
        <v>17</v>
      </c>
      <c r="C442" s="5">
        <v>0.64</v>
      </c>
      <c r="D442" s="4">
        <v>3</v>
      </c>
      <c r="E442" s="5">
        <v>0.25</v>
      </c>
      <c r="F442" s="4">
        <v>14</v>
      </c>
      <c r="G442" s="5">
        <v>0.95</v>
      </c>
      <c r="H442" s="4">
        <v>0</v>
      </c>
    </row>
    <row r="443" spans="1:8" x14ac:dyDescent="0.2">
      <c r="A443" s="2" t="s">
        <v>79</v>
      </c>
      <c r="B443" s="4">
        <v>275</v>
      </c>
      <c r="C443" s="5">
        <v>10.36</v>
      </c>
      <c r="D443" s="4">
        <v>83</v>
      </c>
      <c r="E443" s="5">
        <v>7.03</v>
      </c>
      <c r="F443" s="4">
        <v>192</v>
      </c>
      <c r="G443" s="5">
        <v>13.06</v>
      </c>
      <c r="H443" s="4">
        <v>0</v>
      </c>
    </row>
    <row r="444" spans="1:8" x14ac:dyDescent="0.2">
      <c r="A444" s="2" t="s">
        <v>80</v>
      </c>
      <c r="B444" s="4">
        <v>140</v>
      </c>
      <c r="C444" s="5">
        <v>5.27</v>
      </c>
      <c r="D444" s="4">
        <v>66</v>
      </c>
      <c r="E444" s="5">
        <v>5.59</v>
      </c>
      <c r="F444" s="4">
        <v>74</v>
      </c>
      <c r="G444" s="5">
        <v>5.03</v>
      </c>
      <c r="H444" s="4">
        <v>0</v>
      </c>
    </row>
    <row r="445" spans="1:8" x14ac:dyDescent="0.2">
      <c r="A445" s="2" t="s">
        <v>81</v>
      </c>
      <c r="B445" s="4">
        <v>344</v>
      </c>
      <c r="C445" s="5">
        <v>12.96</v>
      </c>
      <c r="D445" s="4">
        <v>247</v>
      </c>
      <c r="E445" s="5">
        <v>20.93</v>
      </c>
      <c r="F445" s="4">
        <v>96</v>
      </c>
      <c r="G445" s="5">
        <v>6.53</v>
      </c>
      <c r="H445" s="4">
        <v>0</v>
      </c>
    </row>
    <row r="446" spans="1:8" x14ac:dyDescent="0.2">
      <c r="A446" s="2" t="s">
        <v>82</v>
      </c>
      <c r="B446" s="4">
        <v>314</v>
      </c>
      <c r="C446" s="5">
        <v>11.83</v>
      </c>
      <c r="D446" s="4">
        <v>226</v>
      </c>
      <c r="E446" s="5">
        <v>19.149999999999999</v>
      </c>
      <c r="F446" s="4">
        <v>88</v>
      </c>
      <c r="G446" s="5">
        <v>5.99</v>
      </c>
      <c r="H446" s="4">
        <v>0</v>
      </c>
    </row>
    <row r="447" spans="1:8" x14ac:dyDescent="0.2">
      <c r="A447" s="2" t="s">
        <v>83</v>
      </c>
      <c r="B447" s="4">
        <v>120</v>
      </c>
      <c r="C447" s="5">
        <v>4.5199999999999996</v>
      </c>
      <c r="D447" s="4">
        <v>85</v>
      </c>
      <c r="E447" s="5">
        <v>7.2</v>
      </c>
      <c r="F447" s="4">
        <v>31</v>
      </c>
      <c r="G447" s="5">
        <v>2.11</v>
      </c>
      <c r="H447" s="4">
        <v>1</v>
      </c>
    </row>
    <row r="448" spans="1:8" x14ac:dyDescent="0.2">
      <c r="A448" s="2" t="s">
        <v>84</v>
      </c>
      <c r="B448" s="4">
        <v>117</v>
      </c>
      <c r="C448" s="5">
        <v>4.41</v>
      </c>
      <c r="D448" s="4">
        <v>72</v>
      </c>
      <c r="E448" s="5">
        <v>6.1</v>
      </c>
      <c r="F448" s="4">
        <v>45</v>
      </c>
      <c r="G448" s="5">
        <v>3.06</v>
      </c>
      <c r="H448" s="4">
        <v>0</v>
      </c>
    </row>
    <row r="449" spans="1:8" x14ac:dyDescent="0.2">
      <c r="A449" s="2" t="s">
        <v>85</v>
      </c>
      <c r="B449" s="4">
        <v>114</v>
      </c>
      <c r="C449" s="5">
        <v>4.29</v>
      </c>
      <c r="D449" s="4">
        <v>32</v>
      </c>
      <c r="E449" s="5">
        <v>2.71</v>
      </c>
      <c r="F449" s="4">
        <v>82</v>
      </c>
      <c r="G449" s="5">
        <v>5.58</v>
      </c>
      <c r="H449" s="4">
        <v>0</v>
      </c>
    </row>
    <row r="450" spans="1:8" x14ac:dyDescent="0.2">
      <c r="A450" s="1" t="s">
        <v>28</v>
      </c>
      <c r="B450" s="4">
        <v>6780</v>
      </c>
      <c r="C450" s="5">
        <v>99.999999999999986</v>
      </c>
      <c r="D450" s="4">
        <v>3247</v>
      </c>
      <c r="E450" s="5">
        <v>100.00000000000001</v>
      </c>
      <c r="F450" s="4">
        <v>3498</v>
      </c>
      <c r="G450" s="5">
        <v>100.01</v>
      </c>
      <c r="H450" s="4">
        <v>14</v>
      </c>
    </row>
    <row r="451" spans="1:8" x14ac:dyDescent="0.2">
      <c r="A451" s="2" t="s">
        <v>71</v>
      </c>
      <c r="B451" s="4">
        <v>1</v>
      </c>
      <c r="C451" s="5">
        <v>0.01</v>
      </c>
      <c r="D451" s="4">
        <v>0</v>
      </c>
      <c r="E451" s="5">
        <v>0</v>
      </c>
      <c r="F451" s="4">
        <v>1</v>
      </c>
      <c r="G451" s="5">
        <v>0.03</v>
      </c>
      <c r="H451" s="4">
        <v>0</v>
      </c>
    </row>
    <row r="452" spans="1:8" x14ac:dyDescent="0.2">
      <c r="A452" s="2" t="s">
        <v>72</v>
      </c>
      <c r="B452" s="4">
        <v>1037</v>
      </c>
      <c r="C452" s="5">
        <v>15.29</v>
      </c>
      <c r="D452" s="4">
        <v>287</v>
      </c>
      <c r="E452" s="5">
        <v>8.84</v>
      </c>
      <c r="F452" s="4">
        <v>750</v>
      </c>
      <c r="G452" s="5">
        <v>21.44</v>
      </c>
      <c r="H452" s="4">
        <v>0</v>
      </c>
    </row>
    <row r="453" spans="1:8" x14ac:dyDescent="0.2">
      <c r="A453" s="2" t="s">
        <v>73</v>
      </c>
      <c r="B453" s="4">
        <v>727</v>
      </c>
      <c r="C453" s="5">
        <v>10.72</v>
      </c>
      <c r="D453" s="4">
        <v>157</v>
      </c>
      <c r="E453" s="5">
        <v>4.84</v>
      </c>
      <c r="F453" s="4">
        <v>569</v>
      </c>
      <c r="G453" s="5">
        <v>16.27</v>
      </c>
      <c r="H453" s="4">
        <v>1</v>
      </c>
    </row>
    <row r="454" spans="1:8" x14ac:dyDescent="0.2">
      <c r="A454" s="2" t="s">
        <v>74</v>
      </c>
      <c r="B454" s="4">
        <v>15</v>
      </c>
      <c r="C454" s="5">
        <v>0.22</v>
      </c>
      <c r="D454" s="4">
        <v>1</v>
      </c>
      <c r="E454" s="5">
        <v>0.03</v>
      </c>
      <c r="F454" s="4">
        <v>12</v>
      </c>
      <c r="G454" s="5">
        <v>0.34</v>
      </c>
      <c r="H454" s="4">
        <v>0</v>
      </c>
    </row>
    <row r="455" spans="1:8" x14ac:dyDescent="0.2">
      <c r="A455" s="2" t="s">
        <v>75</v>
      </c>
      <c r="B455" s="4">
        <v>52</v>
      </c>
      <c r="C455" s="5">
        <v>0.77</v>
      </c>
      <c r="D455" s="4">
        <v>3</v>
      </c>
      <c r="E455" s="5">
        <v>0.09</v>
      </c>
      <c r="F455" s="4">
        <v>48</v>
      </c>
      <c r="G455" s="5">
        <v>1.37</v>
      </c>
      <c r="H455" s="4">
        <v>1</v>
      </c>
    </row>
    <row r="456" spans="1:8" x14ac:dyDescent="0.2">
      <c r="A456" s="2" t="s">
        <v>76</v>
      </c>
      <c r="B456" s="4">
        <v>60</v>
      </c>
      <c r="C456" s="5">
        <v>0.88</v>
      </c>
      <c r="D456" s="4">
        <v>5</v>
      </c>
      <c r="E456" s="5">
        <v>0.15</v>
      </c>
      <c r="F456" s="4">
        <v>53</v>
      </c>
      <c r="G456" s="5">
        <v>1.52</v>
      </c>
      <c r="H456" s="4">
        <v>2</v>
      </c>
    </row>
    <row r="457" spans="1:8" x14ac:dyDescent="0.2">
      <c r="A457" s="2" t="s">
        <v>77</v>
      </c>
      <c r="B457" s="4">
        <v>1297</v>
      </c>
      <c r="C457" s="5">
        <v>19.13</v>
      </c>
      <c r="D457" s="4">
        <v>572</v>
      </c>
      <c r="E457" s="5">
        <v>17.62</v>
      </c>
      <c r="F457" s="4">
        <v>725</v>
      </c>
      <c r="G457" s="5">
        <v>20.73</v>
      </c>
      <c r="H457" s="4">
        <v>0</v>
      </c>
    </row>
    <row r="458" spans="1:8" x14ac:dyDescent="0.2">
      <c r="A458" s="2" t="s">
        <v>78</v>
      </c>
      <c r="B458" s="4">
        <v>31</v>
      </c>
      <c r="C458" s="5">
        <v>0.46</v>
      </c>
      <c r="D458" s="4">
        <v>4</v>
      </c>
      <c r="E458" s="5">
        <v>0.12</v>
      </c>
      <c r="F458" s="4">
        <v>27</v>
      </c>
      <c r="G458" s="5">
        <v>0.77</v>
      </c>
      <c r="H458" s="4">
        <v>0</v>
      </c>
    </row>
    <row r="459" spans="1:8" x14ac:dyDescent="0.2">
      <c r="A459" s="2" t="s">
        <v>79</v>
      </c>
      <c r="B459" s="4">
        <v>637</v>
      </c>
      <c r="C459" s="5">
        <v>9.4</v>
      </c>
      <c r="D459" s="4">
        <v>210</v>
      </c>
      <c r="E459" s="5">
        <v>6.47</v>
      </c>
      <c r="F459" s="4">
        <v>426</v>
      </c>
      <c r="G459" s="5">
        <v>12.18</v>
      </c>
      <c r="H459" s="4">
        <v>1</v>
      </c>
    </row>
    <row r="460" spans="1:8" x14ac:dyDescent="0.2">
      <c r="A460" s="2" t="s">
        <v>80</v>
      </c>
      <c r="B460" s="4">
        <v>349</v>
      </c>
      <c r="C460" s="5">
        <v>5.15</v>
      </c>
      <c r="D460" s="4">
        <v>189</v>
      </c>
      <c r="E460" s="5">
        <v>5.82</v>
      </c>
      <c r="F460" s="4">
        <v>157</v>
      </c>
      <c r="G460" s="5">
        <v>4.49</v>
      </c>
      <c r="H460" s="4">
        <v>0</v>
      </c>
    </row>
    <row r="461" spans="1:8" x14ac:dyDescent="0.2">
      <c r="A461" s="2" t="s">
        <v>81</v>
      </c>
      <c r="B461" s="4">
        <v>856</v>
      </c>
      <c r="C461" s="5">
        <v>12.63</v>
      </c>
      <c r="D461" s="4">
        <v>656</v>
      </c>
      <c r="E461" s="5">
        <v>20.2</v>
      </c>
      <c r="F461" s="4">
        <v>194</v>
      </c>
      <c r="G461" s="5">
        <v>5.55</v>
      </c>
      <c r="H461" s="4">
        <v>1</v>
      </c>
    </row>
    <row r="462" spans="1:8" x14ac:dyDescent="0.2">
      <c r="A462" s="2" t="s">
        <v>82</v>
      </c>
      <c r="B462" s="4">
        <v>901</v>
      </c>
      <c r="C462" s="5">
        <v>13.29</v>
      </c>
      <c r="D462" s="4">
        <v>691</v>
      </c>
      <c r="E462" s="5">
        <v>21.28</v>
      </c>
      <c r="F462" s="4">
        <v>207</v>
      </c>
      <c r="G462" s="5">
        <v>5.92</v>
      </c>
      <c r="H462" s="4">
        <v>0</v>
      </c>
    </row>
    <row r="463" spans="1:8" x14ac:dyDescent="0.2">
      <c r="A463" s="2" t="s">
        <v>83</v>
      </c>
      <c r="B463" s="4">
        <v>307</v>
      </c>
      <c r="C463" s="5">
        <v>4.53</v>
      </c>
      <c r="D463" s="4">
        <v>211</v>
      </c>
      <c r="E463" s="5">
        <v>6.5</v>
      </c>
      <c r="F463" s="4">
        <v>89</v>
      </c>
      <c r="G463" s="5">
        <v>2.54</v>
      </c>
      <c r="H463" s="4">
        <v>3</v>
      </c>
    </row>
    <row r="464" spans="1:8" x14ac:dyDescent="0.2">
      <c r="A464" s="2" t="s">
        <v>84</v>
      </c>
      <c r="B464" s="4">
        <v>259</v>
      </c>
      <c r="C464" s="5">
        <v>3.82</v>
      </c>
      <c r="D464" s="4">
        <v>183</v>
      </c>
      <c r="E464" s="5">
        <v>5.64</v>
      </c>
      <c r="F464" s="4">
        <v>75</v>
      </c>
      <c r="G464" s="5">
        <v>2.14</v>
      </c>
      <c r="H464" s="4">
        <v>0</v>
      </c>
    </row>
    <row r="465" spans="1:8" x14ac:dyDescent="0.2">
      <c r="A465" s="2" t="s">
        <v>85</v>
      </c>
      <c r="B465" s="4">
        <v>251</v>
      </c>
      <c r="C465" s="5">
        <v>3.7</v>
      </c>
      <c r="D465" s="4">
        <v>78</v>
      </c>
      <c r="E465" s="5">
        <v>2.4</v>
      </c>
      <c r="F465" s="4">
        <v>165</v>
      </c>
      <c r="G465" s="5">
        <v>4.72</v>
      </c>
      <c r="H465" s="4">
        <v>5</v>
      </c>
    </row>
    <row r="466" spans="1:8" x14ac:dyDescent="0.2">
      <c r="A466" s="1" t="s">
        <v>29</v>
      </c>
      <c r="B466" s="4">
        <v>3438</v>
      </c>
      <c r="C466" s="5">
        <v>100.00000000000001</v>
      </c>
      <c r="D466" s="4">
        <v>1801</v>
      </c>
      <c r="E466" s="5">
        <v>100.02</v>
      </c>
      <c r="F466" s="4">
        <v>1628</v>
      </c>
      <c r="G466" s="5">
        <v>99.99</v>
      </c>
      <c r="H466" s="4">
        <v>2</v>
      </c>
    </row>
    <row r="467" spans="1:8" x14ac:dyDescent="0.2">
      <c r="A467" s="2" t="s">
        <v>71</v>
      </c>
      <c r="B467" s="4">
        <v>3</v>
      </c>
      <c r="C467" s="5">
        <v>0.09</v>
      </c>
      <c r="D467" s="4">
        <v>0</v>
      </c>
      <c r="E467" s="5">
        <v>0</v>
      </c>
      <c r="F467" s="4">
        <v>3</v>
      </c>
      <c r="G467" s="5">
        <v>0.18</v>
      </c>
      <c r="H467" s="4">
        <v>0</v>
      </c>
    </row>
    <row r="468" spans="1:8" x14ac:dyDescent="0.2">
      <c r="A468" s="2" t="s">
        <v>72</v>
      </c>
      <c r="B468" s="4">
        <v>421</v>
      </c>
      <c r="C468" s="5">
        <v>12.25</v>
      </c>
      <c r="D468" s="4">
        <v>146</v>
      </c>
      <c r="E468" s="5">
        <v>8.11</v>
      </c>
      <c r="F468" s="4">
        <v>275</v>
      </c>
      <c r="G468" s="5">
        <v>16.89</v>
      </c>
      <c r="H468" s="4">
        <v>0</v>
      </c>
    </row>
    <row r="469" spans="1:8" x14ac:dyDescent="0.2">
      <c r="A469" s="2" t="s">
        <v>73</v>
      </c>
      <c r="B469" s="4">
        <v>444</v>
      </c>
      <c r="C469" s="5">
        <v>12.91</v>
      </c>
      <c r="D469" s="4">
        <v>134</v>
      </c>
      <c r="E469" s="5">
        <v>7.44</v>
      </c>
      <c r="F469" s="4">
        <v>310</v>
      </c>
      <c r="G469" s="5">
        <v>19.04</v>
      </c>
      <c r="H469" s="4">
        <v>0</v>
      </c>
    </row>
    <row r="470" spans="1:8" x14ac:dyDescent="0.2">
      <c r="A470" s="2" t="s">
        <v>74</v>
      </c>
      <c r="B470" s="4">
        <v>4</v>
      </c>
      <c r="C470" s="5">
        <v>0.12</v>
      </c>
      <c r="D470" s="4">
        <v>0</v>
      </c>
      <c r="E470" s="5">
        <v>0</v>
      </c>
      <c r="F470" s="4">
        <v>4</v>
      </c>
      <c r="G470" s="5">
        <v>0.25</v>
      </c>
      <c r="H470" s="4">
        <v>0</v>
      </c>
    </row>
    <row r="471" spans="1:8" x14ac:dyDescent="0.2">
      <c r="A471" s="2" t="s">
        <v>75</v>
      </c>
      <c r="B471" s="4">
        <v>19</v>
      </c>
      <c r="C471" s="5">
        <v>0.55000000000000004</v>
      </c>
      <c r="D471" s="4">
        <v>0</v>
      </c>
      <c r="E471" s="5">
        <v>0</v>
      </c>
      <c r="F471" s="4">
        <v>19</v>
      </c>
      <c r="G471" s="5">
        <v>1.17</v>
      </c>
      <c r="H471" s="4">
        <v>0</v>
      </c>
    </row>
    <row r="472" spans="1:8" x14ac:dyDescent="0.2">
      <c r="A472" s="2" t="s">
        <v>76</v>
      </c>
      <c r="B472" s="4">
        <v>36</v>
      </c>
      <c r="C472" s="5">
        <v>1.05</v>
      </c>
      <c r="D472" s="4">
        <v>5</v>
      </c>
      <c r="E472" s="5">
        <v>0.28000000000000003</v>
      </c>
      <c r="F472" s="4">
        <v>31</v>
      </c>
      <c r="G472" s="5">
        <v>1.9</v>
      </c>
      <c r="H472" s="4">
        <v>0</v>
      </c>
    </row>
    <row r="473" spans="1:8" x14ac:dyDescent="0.2">
      <c r="A473" s="2" t="s">
        <v>77</v>
      </c>
      <c r="B473" s="4">
        <v>687</v>
      </c>
      <c r="C473" s="5">
        <v>19.98</v>
      </c>
      <c r="D473" s="4">
        <v>325</v>
      </c>
      <c r="E473" s="5">
        <v>18.05</v>
      </c>
      <c r="F473" s="4">
        <v>362</v>
      </c>
      <c r="G473" s="5">
        <v>22.24</v>
      </c>
      <c r="H473" s="4">
        <v>0</v>
      </c>
    </row>
    <row r="474" spans="1:8" x14ac:dyDescent="0.2">
      <c r="A474" s="2" t="s">
        <v>78</v>
      </c>
      <c r="B474" s="4">
        <v>10</v>
      </c>
      <c r="C474" s="5">
        <v>0.28999999999999998</v>
      </c>
      <c r="D474" s="4">
        <v>0</v>
      </c>
      <c r="E474" s="5">
        <v>0</v>
      </c>
      <c r="F474" s="4">
        <v>10</v>
      </c>
      <c r="G474" s="5">
        <v>0.61</v>
      </c>
      <c r="H474" s="4">
        <v>0</v>
      </c>
    </row>
    <row r="475" spans="1:8" x14ac:dyDescent="0.2">
      <c r="A475" s="2" t="s">
        <v>79</v>
      </c>
      <c r="B475" s="4">
        <v>436</v>
      </c>
      <c r="C475" s="5">
        <v>12.68</v>
      </c>
      <c r="D475" s="4">
        <v>215</v>
      </c>
      <c r="E475" s="5">
        <v>11.94</v>
      </c>
      <c r="F475" s="4">
        <v>221</v>
      </c>
      <c r="G475" s="5">
        <v>13.57</v>
      </c>
      <c r="H475" s="4">
        <v>0</v>
      </c>
    </row>
    <row r="476" spans="1:8" x14ac:dyDescent="0.2">
      <c r="A476" s="2" t="s">
        <v>80</v>
      </c>
      <c r="B476" s="4">
        <v>153</v>
      </c>
      <c r="C476" s="5">
        <v>4.45</v>
      </c>
      <c r="D476" s="4">
        <v>83</v>
      </c>
      <c r="E476" s="5">
        <v>4.6100000000000003</v>
      </c>
      <c r="F476" s="4">
        <v>69</v>
      </c>
      <c r="G476" s="5">
        <v>4.24</v>
      </c>
      <c r="H476" s="4">
        <v>0</v>
      </c>
    </row>
    <row r="477" spans="1:8" x14ac:dyDescent="0.2">
      <c r="A477" s="2" t="s">
        <v>81</v>
      </c>
      <c r="B477" s="4">
        <v>351</v>
      </c>
      <c r="C477" s="5">
        <v>10.210000000000001</v>
      </c>
      <c r="D477" s="4">
        <v>288</v>
      </c>
      <c r="E477" s="5">
        <v>15.99</v>
      </c>
      <c r="F477" s="4">
        <v>62</v>
      </c>
      <c r="G477" s="5">
        <v>3.81</v>
      </c>
      <c r="H477" s="4">
        <v>0</v>
      </c>
    </row>
    <row r="478" spans="1:8" x14ac:dyDescent="0.2">
      <c r="A478" s="2" t="s">
        <v>82</v>
      </c>
      <c r="B478" s="4">
        <v>415</v>
      </c>
      <c r="C478" s="5">
        <v>12.07</v>
      </c>
      <c r="D478" s="4">
        <v>309</v>
      </c>
      <c r="E478" s="5">
        <v>17.16</v>
      </c>
      <c r="F478" s="4">
        <v>105</v>
      </c>
      <c r="G478" s="5">
        <v>6.45</v>
      </c>
      <c r="H478" s="4">
        <v>1</v>
      </c>
    </row>
    <row r="479" spans="1:8" x14ac:dyDescent="0.2">
      <c r="A479" s="2" t="s">
        <v>83</v>
      </c>
      <c r="B479" s="4">
        <v>199</v>
      </c>
      <c r="C479" s="5">
        <v>5.79</v>
      </c>
      <c r="D479" s="4">
        <v>156</v>
      </c>
      <c r="E479" s="5">
        <v>8.66</v>
      </c>
      <c r="F479" s="4">
        <v>42</v>
      </c>
      <c r="G479" s="5">
        <v>2.58</v>
      </c>
      <c r="H479" s="4">
        <v>0</v>
      </c>
    </row>
    <row r="480" spans="1:8" x14ac:dyDescent="0.2">
      <c r="A480" s="2" t="s">
        <v>84</v>
      </c>
      <c r="B480" s="4">
        <v>144</v>
      </c>
      <c r="C480" s="5">
        <v>4.1900000000000004</v>
      </c>
      <c r="D480" s="4">
        <v>99</v>
      </c>
      <c r="E480" s="5">
        <v>5.5</v>
      </c>
      <c r="F480" s="4">
        <v>43</v>
      </c>
      <c r="G480" s="5">
        <v>2.64</v>
      </c>
      <c r="H480" s="4">
        <v>0</v>
      </c>
    </row>
    <row r="481" spans="1:8" x14ac:dyDescent="0.2">
      <c r="A481" s="2" t="s">
        <v>85</v>
      </c>
      <c r="B481" s="4">
        <v>116</v>
      </c>
      <c r="C481" s="5">
        <v>3.37</v>
      </c>
      <c r="D481" s="4">
        <v>41</v>
      </c>
      <c r="E481" s="5">
        <v>2.2799999999999998</v>
      </c>
      <c r="F481" s="4">
        <v>72</v>
      </c>
      <c r="G481" s="5">
        <v>4.42</v>
      </c>
      <c r="H481" s="4">
        <v>1</v>
      </c>
    </row>
    <row r="482" spans="1:8" x14ac:dyDescent="0.2">
      <c r="A482" s="1" t="s">
        <v>30</v>
      </c>
      <c r="B482" s="4">
        <v>3901</v>
      </c>
      <c r="C482" s="5">
        <v>99.989999999999981</v>
      </c>
      <c r="D482" s="4">
        <v>2336</v>
      </c>
      <c r="E482" s="5">
        <v>100.01</v>
      </c>
      <c r="F482" s="4">
        <v>1514</v>
      </c>
      <c r="G482" s="5">
        <v>100.00999999999999</v>
      </c>
      <c r="H482" s="4">
        <v>7</v>
      </c>
    </row>
    <row r="483" spans="1:8" x14ac:dyDescent="0.2">
      <c r="A483" s="2" t="s">
        <v>71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72</v>
      </c>
      <c r="B484" s="4">
        <v>654</v>
      </c>
      <c r="C484" s="5">
        <v>16.760000000000002</v>
      </c>
      <c r="D484" s="4">
        <v>317</v>
      </c>
      <c r="E484" s="5">
        <v>13.57</v>
      </c>
      <c r="F484" s="4">
        <v>337</v>
      </c>
      <c r="G484" s="5">
        <v>22.26</v>
      </c>
      <c r="H484" s="4">
        <v>0</v>
      </c>
    </row>
    <row r="485" spans="1:8" x14ac:dyDescent="0.2">
      <c r="A485" s="2" t="s">
        <v>73</v>
      </c>
      <c r="B485" s="4">
        <v>668</v>
      </c>
      <c r="C485" s="5">
        <v>17.12</v>
      </c>
      <c r="D485" s="4">
        <v>334</v>
      </c>
      <c r="E485" s="5">
        <v>14.3</v>
      </c>
      <c r="F485" s="4">
        <v>334</v>
      </c>
      <c r="G485" s="5">
        <v>22.06</v>
      </c>
      <c r="H485" s="4">
        <v>0</v>
      </c>
    </row>
    <row r="486" spans="1:8" x14ac:dyDescent="0.2">
      <c r="A486" s="2" t="s">
        <v>74</v>
      </c>
      <c r="B486" s="4">
        <v>6</v>
      </c>
      <c r="C486" s="5">
        <v>0.15</v>
      </c>
      <c r="D486" s="4">
        <v>0</v>
      </c>
      <c r="E486" s="5">
        <v>0</v>
      </c>
      <c r="F486" s="4">
        <v>6</v>
      </c>
      <c r="G486" s="5">
        <v>0.4</v>
      </c>
      <c r="H486" s="4">
        <v>0</v>
      </c>
    </row>
    <row r="487" spans="1:8" x14ac:dyDescent="0.2">
      <c r="A487" s="2" t="s">
        <v>75</v>
      </c>
      <c r="B487" s="4">
        <v>13</v>
      </c>
      <c r="C487" s="5">
        <v>0.33</v>
      </c>
      <c r="D487" s="4">
        <v>2</v>
      </c>
      <c r="E487" s="5">
        <v>0.09</v>
      </c>
      <c r="F487" s="4">
        <v>11</v>
      </c>
      <c r="G487" s="5">
        <v>0.73</v>
      </c>
      <c r="H487" s="4">
        <v>0</v>
      </c>
    </row>
    <row r="488" spans="1:8" x14ac:dyDescent="0.2">
      <c r="A488" s="2" t="s">
        <v>76</v>
      </c>
      <c r="B488" s="4">
        <v>45</v>
      </c>
      <c r="C488" s="5">
        <v>1.1499999999999999</v>
      </c>
      <c r="D488" s="4">
        <v>23</v>
      </c>
      <c r="E488" s="5">
        <v>0.98</v>
      </c>
      <c r="F488" s="4">
        <v>17</v>
      </c>
      <c r="G488" s="5">
        <v>1.1200000000000001</v>
      </c>
      <c r="H488" s="4">
        <v>1</v>
      </c>
    </row>
    <row r="489" spans="1:8" x14ac:dyDescent="0.2">
      <c r="A489" s="2" t="s">
        <v>77</v>
      </c>
      <c r="B489" s="4">
        <v>919</v>
      </c>
      <c r="C489" s="5">
        <v>23.56</v>
      </c>
      <c r="D489" s="4">
        <v>540</v>
      </c>
      <c r="E489" s="5">
        <v>23.12</v>
      </c>
      <c r="F489" s="4">
        <v>378</v>
      </c>
      <c r="G489" s="5">
        <v>24.97</v>
      </c>
      <c r="H489" s="4">
        <v>1</v>
      </c>
    </row>
    <row r="490" spans="1:8" x14ac:dyDescent="0.2">
      <c r="A490" s="2" t="s">
        <v>78</v>
      </c>
      <c r="B490" s="4">
        <v>20</v>
      </c>
      <c r="C490" s="5">
        <v>0.51</v>
      </c>
      <c r="D490" s="4">
        <v>3</v>
      </c>
      <c r="E490" s="5">
        <v>0.13</v>
      </c>
      <c r="F490" s="4">
        <v>17</v>
      </c>
      <c r="G490" s="5">
        <v>1.1200000000000001</v>
      </c>
      <c r="H490" s="4">
        <v>0</v>
      </c>
    </row>
    <row r="491" spans="1:8" x14ac:dyDescent="0.2">
      <c r="A491" s="2" t="s">
        <v>79</v>
      </c>
      <c r="B491" s="4">
        <v>198</v>
      </c>
      <c r="C491" s="5">
        <v>5.08</v>
      </c>
      <c r="D491" s="4">
        <v>74</v>
      </c>
      <c r="E491" s="5">
        <v>3.17</v>
      </c>
      <c r="F491" s="4">
        <v>123</v>
      </c>
      <c r="G491" s="5">
        <v>8.1199999999999992</v>
      </c>
      <c r="H491" s="4">
        <v>1</v>
      </c>
    </row>
    <row r="492" spans="1:8" x14ac:dyDescent="0.2">
      <c r="A492" s="2" t="s">
        <v>80</v>
      </c>
      <c r="B492" s="4">
        <v>170</v>
      </c>
      <c r="C492" s="5">
        <v>4.3600000000000003</v>
      </c>
      <c r="D492" s="4">
        <v>102</v>
      </c>
      <c r="E492" s="5">
        <v>4.37</v>
      </c>
      <c r="F492" s="4">
        <v>68</v>
      </c>
      <c r="G492" s="5">
        <v>4.49</v>
      </c>
      <c r="H492" s="4">
        <v>0</v>
      </c>
    </row>
    <row r="493" spans="1:8" x14ac:dyDescent="0.2">
      <c r="A493" s="2" t="s">
        <v>81</v>
      </c>
      <c r="B493" s="4">
        <v>312</v>
      </c>
      <c r="C493" s="5">
        <v>8</v>
      </c>
      <c r="D493" s="4">
        <v>264</v>
      </c>
      <c r="E493" s="5">
        <v>11.3</v>
      </c>
      <c r="F493" s="4">
        <v>46</v>
      </c>
      <c r="G493" s="5">
        <v>3.04</v>
      </c>
      <c r="H493" s="4">
        <v>0</v>
      </c>
    </row>
    <row r="494" spans="1:8" x14ac:dyDescent="0.2">
      <c r="A494" s="2" t="s">
        <v>82</v>
      </c>
      <c r="B494" s="4">
        <v>451</v>
      </c>
      <c r="C494" s="5">
        <v>11.56</v>
      </c>
      <c r="D494" s="4">
        <v>377</v>
      </c>
      <c r="E494" s="5">
        <v>16.14</v>
      </c>
      <c r="F494" s="4">
        <v>69</v>
      </c>
      <c r="G494" s="5">
        <v>4.5599999999999996</v>
      </c>
      <c r="H494" s="4">
        <v>2</v>
      </c>
    </row>
    <row r="495" spans="1:8" x14ac:dyDescent="0.2">
      <c r="A495" s="2" t="s">
        <v>83</v>
      </c>
      <c r="B495" s="4">
        <v>175</v>
      </c>
      <c r="C495" s="5">
        <v>4.49</v>
      </c>
      <c r="D495" s="4">
        <v>133</v>
      </c>
      <c r="E495" s="5">
        <v>5.69</v>
      </c>
      <c r="F495" s="4">
        <v>31</v>
      </c>
      <c r="G495" s="5">
        <v>2.0499999999999998</v>
      </c>
      <c r="H495" s="4">
        <v>1</v>
      </c>
    </row>
    <row r="496" spans="1:8" x14ac:dyDescent="0.2">
      <c r="A496" s="2" t="s">
        <v>84</v>
      </c>
      <c r="B496" s="4">
        <v>174</v>
      </c>
      <c r="C496" s="5">
        <v>4.46</v>
      </c>
      <c r="D496" s="4">
        <v>126</v>
      </c>
      <c r="E496" s="5">
        <v>5.39</v>
      </c>
      <c r="F496" s="4">
        <v>28</v>
      </c>
      <c r="G496" s="5">
        <v>1.85</v>
      </c>
      <c r="H496" s="4">
        <v>0</v>
      </c>
    </row>
    <row r="497" spans="1:8" x14ac:dyDescent="0.2">
      <c r="A497" s="2" t="s">
        <v>85</v>
      </c>
      <c r="B497" s="4">
        <v>96</v>
      </c>
      <c r="C497" s="5">
        <v>2.46</v>
      </c>
      <c r="D497" s="4">
        <v>41</v>
      </c>
      <c r="E497" s="5">
        <v>1.76</v>
      </c>
      <c r="F497" s="4">
        <v>49</v>
      </c>
      <c r="G497" s="5">
        <v>3.24</v>
      </c>
      <c r="H497" s="4">
        <v>1</v>
      </c>
    </row>
    <row r="498" spans="1:8" x14ac:dyDescent="0.2">
      <c r="A498" s="1" t="s">
        <v>31</v>
      </c>
      <c r="B498" s="4">
        <v>2124</v>
      </c>
      <c r="C498" s="5">
        <v>100</v>
      </c>
      <c r="D498" s="4">
        <v>1152</v>
      </c>
      <c r="E498" s="5">
        <v>99.99</v>
      </c>
      <c r="F498" s="4">
        <v>943</v>
      </c>
      <c r="G498" s="5">
        <v>100.02000000000001</v>
      </c>
      <c r="H498" s="4">
        <v>12</v>
      </c>
    </row>
    <row r="499" spans="1:8" x14ac:dyDescent="0.2">
      <c r="A499" s="2" t="s">
        <v>71</v>
      </c>
      <c r="B499" s="4">
        <v>1</v>
      </c>
      <c r="C499" s="5">
        <v>0.05</v>
      </c>
      <c r="D499" s="4">
        <v>0</v>
      </c>
      <c r="E499" s="5">
        <v>0</v>
      </c>
      <c r="F499" s="4">
        <v>1</v>
      </c>
      <c r="G499" s="5">
        <v>0.11</v>
      </c>
      <c r="H499" s="4">
        <v>0</v>
      </c>
    </row>
    <row r="500" spans="1:8" x14ac:dyDescent="0.2">
      <c r="A500" s="2" t="s">
        <v>72</v>
      </c>
      <c r="B500" s="4">
        <v>240</v>
      </c>
      <c r="C500" s="5">
        <v>11.3</v>
      </c>
      <c r="D500" s="4">
        <v>77</v>
      </c>
      <c r="E500" s="5">
        <v>6.68</v>
      </c>
      <c r="F500" s="4">
        <v>163</v>
      </c>
      <c r="G500" s="5">
        <v>17.29</v>
      </c>
      <c r="H500" s="4">
        <v>0</v>
      </c>
    </row>
    <row r="501" spans="1:8" x14ac:dyDescent="0.2">
      <c r="A501" s="2" t="s">
        <v>73</v>
      </c>
      <c r="B501" s="4">
        <v>430</v>
      </c>
      <c r="C501" s="5">
        <v>20.239999999999998</v>
      </c>
      <c r="D501" s="4">
        <v>200</v>
      </c>
      <c r="E501" s="5">
        <v>17.36</v>
      </c>
      <c r="F501" s="4">
        <v>230</v>
      </c>
      <c r="G501" s="5">
        <v>24.39</v>
      </c>
      <c r="H501" s="4">
        <v>0</v>
      </c>
    </row>
    <row r="502" spans="1:8" x14ac:dyDescent="0.2">
      <c r="A502" s="2" t="s">
        <v>74</v>
      </c>
      <c r="B502" s="4">
        <v>3</v>
      </c>
      <c r="C502" s="5">
        <v>0.14000000000000001</v>
      </c>
      <c r="D502" s="4">
        <v>0</v>
      </c>
      <c r="E502" s="5">
        <v>0</v>
      </c>
      <c r="F502" s="4">
        <v>2</v>
      </c>
      <c r="G502" s="5">
        <v>0.21</v>
      </c>
      <c r="H502" s="4">
        <v>0</v>
      </c>
    </row>
    <row r="503" spans="1:8" x14ac:dyDescent="0.2">
      <c r="A503" s="2" t="s">
        <v>75</v>
      </c>
      <c r="B503" s="4">
        <v>13</v>
      </c>
      <c r="C503" s="5">
        <v>0.61</v>
      </c>
      <c r="D503" s="4">
        <v>0</v>
      </c>
      <c r="E503" s="5">
        <v>0</v>
      </c>
      <c r="F503" s="4">
        <v>13</v>
      </c>
      <c r="G503" s="5">
        <v>1.38</v>
      </c>
      <c r="H503" s="4">
        <v>0</v>
      </c>
    </row>
    <row r="504" spans="1:8" x14ac:dyDescent="0.2">
      <c r="A504" s="2" t="s">
        <v>76</v>
      </c>
      <c r="B504" s="4">
        <v>14</v>
      </c>
      <c r="C504" s="5">
        <v>0.66</v>
      </c>
      <c r="D504" s="4">
        <v>4</v>
      </c>
      <c r="E504" s="5">
        <v>0.35</v>
      </c>
      <c r="F504" s="4">
        <v>9</v>
      </c>
      <c r="G504" s="5">
        <v>0.95</v>
      </c>
      <c r="H504" s="4">
        <v>1</v>
      </c>
    </row>
    <row r="505" spans="1:8" x14ac:dyDescent="0.2">
      <c r="A505" s="2" t="s">
        <v>77</v>
      </c>
      <c r="B505" s="4">
        <v>515</v>
      </c>
      <c r="C505" s="5">
        <v>24.25</v>
      </c>
      <c r="D505" s="4">
        <v>279</v>
      </c>
      <c r="E505" s="5">
        <v>24.22</v>
      </c>
      <c r="F505" s="4">
        <v>236</v>
      </c>
      <c r="G505" s="5">
        <v>25.03</v>
      </c>
      <c r="H505" s="4">
        <v>0</v>
      </c>
    </row>
    <row r="506" spans="1:8" x14ac:dyDescent="0.2">
      <c r="A506" s="2" t="s">
        <v>78</v>
      </c>
      <c r="B506" s="4">
        <v>14</v>
      </c>
      <c r="C506" s="5">
        <v>0.66</v>
      </c>
      <c r="D506" s="4">
        <v>2</v>
      </c>
      <c r="E506" s="5">
        <v>0.17</v>
      </c>
      <c r="F506" s="4">
        <v>12</v>
      </c>
      <c r="G506" s="5">
        <v>1.27</v>
      </c>
      <c r="H506" s="4">
        <v>0</v>
      </c>
    </row>
    <row r="507" spans="1:8" x14ac:dyDescent="0.2">
      <c r="A507" s="2" t="s">
        <v>79</v>
      </c>
      <c r="B507" s="4">
        <v>177</v>
      </c>
      <c r="C507" s="5">
        <v>8.33</v>
      </c>
      <c r="D507" s="4">
        <v>71</v>
      </c>
      <c r="E507" s="5">
        <v>6.16</v>
      </c>
      <c r="F507" s="4">
        <v>106</v>
      </c>
      <c r="G507" s="5">
        <v>11.24</v>
      </c>
      <c r="H507" s="4">
        <v>0</v>
      </c>
    </row>
    <row r="508" spans="1:8" x14ac:dyDescent="0.2">
      <c r="A508" s="2" t="s">
        <v>80</v>
      </c>
      <c r="B508" s="4">
        <v>83</v>
      </c>
      <c r="C508" s="5">
        <v>3.91</v>
      </c>
      <c r="D508" s="4">
        <v>50</v>
      </c>
      <c r="E508" s="5">
        <v>4.34</v>
      </c>
      <c r="F508" s="4">
        <v>33</v>
      </c>
      <c r="G508" s="5">
        <v>3.5</v>
      </c>
      <c r="H508" s="4">
        <v>0</v>
      </c>
    </row>
    <row r="509" spans="1:8" x14ac:dyDescent="0.2">
      <c r="A509" s="2" t="s">
        <v>81</v>
      </c>
      <c r="B509" s="4">
        <v>221</v>
      </c>
      <c r="C509" s="5">
        <v>10.4</v>
      </c>
      <c r="D509" s="4">
        <v>184</v>
      </c>
      <c r="E509" s="5">
        <v>15.97</v>
      </c>
      <c r="F509" s="4">
        <v>36</v>
      </c>
      <c r="G509" s="5">
        <v>3.82</v>
      </c>
      <c r="H509" s="4">
        <v>0</v>
      </c>
    </row>
    <row r="510" spans="1:8" x14ac:dyDescent="0.2">
      <c r="A510" s="2" t="s">
        <v>82</v>
      </c>
      <c r="B510" s="4">
        <v>208</v>
      </c>
      <c r="C510" s="5">
        <v>9.7899999999999991</v>
      </c>
      <c r="D510" s="4">
        <v>174</v>
      </c>
      <c r="E510" s="5">
        <v>15.1</v>
      </c>
      <c r="F510" s="4">
        <v>34</v>
      </c>
      <c r="G510" s="5">
        <v>3.61</v>
      </c>
      <c r="H510" s="4">
        <v>0</v>
      </c>
    </row>
    <row r="511" spans="1:8" x14ac:dyDescent="0.2">
      <c r="A511" s="2" t="s">
        <v>83</v>
      </c>
      <c r="B511" s="4">
        <v>77</v>
      </c>
      <c r="C511" s="5">
        <v>3.63</v>
      </c>
      <c r="D511" s="4">
        <v>48</v>
      </c>
      <c r="E511" s="5">
        <v>4.17</v>
      </c>
      <c r="F511" s="4">
        <v>16</v>
      </c>
      <c r="G511" s="5">
        <v>1.7</v>
      </c>
      <c r="H511" s="4">
        <v>11</v>
      </c>
    </row>
    <row r="512" spans="1:8" x14ac:dyDescent="0.2">
      <c r="A512" s="2" t="s">
        <v>84</v>
      </c>
      <c r="B512" s="4">
        <v>77</v>
      </c>
      <c r="C512" s="5">
        <v>3.63</v>
      </c>
      <c r="D512" s="4">
        <v>47</v>
      </c>
      <c r="E512" s="5">
        <v>4.08</v>
      </c>
      <c r="F512" s="4">
        <v>21</v>
      </c>
      <c r="G512" s="5">
        <v>2.23</v>
      </c>
      <c r="H512" s="4">
        <v>0</v>
      </c>
    </row>
    <row r="513" spans="1:8" x14ac:dyDescent="0.2">
      <c r="A513" s="2" t="s">
        <v>85</v>
      </c>
      <c r="B513" s="4">
        <v>51</v>
      </c>
      <c r="C513" s="5">
        <v>2.4</v>
      </c>
      <c r="D513" s="4">
        <v>16</v>
      </c>
      <c r="E513" s="5">
        <v>1.39</v>
      </c>
      <c r="F513" s="4">
        <v>31</v>
      </c>
      <c r="G513" s="5">
        <v>3.29</v>
      </c>
      <c r="H513" s="4">
        <v>0</v>
      </c>
    </row>
    <row r="514" spans="1:8" x14ac:dyDescent="0.2">
      <c r="A514" s="1" t="s">
        <v>32</v>
      </c>
      <c r="B514" s="4">
        <v>1400</v>
      </c>
      <c r="C514" s="5">
        <v>100.01000000000002</v>
      </c>
      <c r="D514" s="4">
        <v>698</v>
      </c>
      <c r="E514" s="5">
        <v>99.990000000000009</v>
      </c>
      <c r="F514" s="4">
        <v>685</v>
      </c>
      <c r="G514" s="5">
        <v>100.00999999999999</v>
      </c>
      <c r="H514" s="4">
        <v>5</v>
      </c>
    </row>
    <row r="515" spans="1:8" x14ac:dyDescent="0.2">
      <c r="A515" s="2" t="s">
        <v>71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72</v>
      </c>
      <c r="B516" s="4">
        <v>191</v>
      </c>
      <c r="C516" s="5">
        <v>13.64</v>
      </c>
      <c r="D516" s="4">
        <v>54</v>
      </c>
      <c r="E516" s="5">
        <v>7.74</v>
      </c>
      <c r="F516" s="4">
        <v>137</v>
      </c>
      <c r="G516" s="5">
        <v>20</v>
      </c>
      <c r="H516" s="4">
        <v>0</v>
      </c>
    </row>
    <row r="517" spans="1:8" x14ac:dyDescent="0.2">
      <c r="A517" s="2" t="s">
        <v>73</v>
      </c>
      <c r="B517" s="4">
        <v>193</v>
      </c>
      <c r="C517" s="5">
        <v>13.79</v>
      </c>
      <c r="D517" s="4">
        <v>63</v>
      </c>
      <c r="E517" s="5">
        <v>9.0299999999999994</v>
      </c>
      <c r="F517" s="4">
        <v>130</v>
      </c>
      <c r="G517" s="5">
        <v>18.98</v>
      </c>
      <c r="H517" s="4">
        <v>0</v>
      </c>
    </row>
    <row r="518" spans="1:8" x14ac:dyDescent="0.2">
      <c r="A518" s="2" t="s">
        <v>74</v>
      </c>
      <c r="B518" s="4">
        <v>1</v>
      </c>
      <c r="C518" s="5">
        <v>7.0000000000000007E-2</v>
      </c>
      <c r="D518" s="4">
        <v>0</v>
      </c>
      <c r="E518" s="5">
        <v>0</v>
      </c>
      <c r="F518" s="4">
        <v>1</v>
      </c>
      <c r="G518" s="5">
        <v>0.15</v>
      </c>
      <c r="H518" s="4">
        <v>0</v>
      </c>
    </row>
    <row r="519" spans="1:8" x14ac:dyDescent="0.2">
      <c r="A519" s="2" t="s">
        <v>75</v>
      </c>
      <c r="B519" s="4">
        <v>12</v>
      </c>
      <c r="C519" s="5">
        <v>0.86</v>
      </c>
      <c r="D519" s="4">
        <v>1</v>
      </c>
      <c r="E519" s="5">
        <v>0.14000000000000001</v>
      </c>
      <c r="F519" s="4">
        <v>11</v>
      </c>
      <c r="G519" s="5">
        <v>1.61</v>
      </c>
      <c r="H519" s="4">
        <v>0</v>
      </c>
    </row>
    <row r="520" spans="1:8" x14ac:dyDescent="0.2">
      <c r="A520" s="2" t="s">
        <v>76</v>
      </c>
      <c r="B520" s="4">
        <v>15</v>
      </c>
      <c r="C520" s="5">
        <v>1.07</v>
      </c>
      <c r="D520" s="4">
        <v>3</v>
      </c>
      <c r="E520" s="5">
        <v>0.43</v>
      </c>
      <c r="F520" s="4">
        <v>12</v>
      </c>
      <c r="G520" s="5">
        <v>1.75</v>
      </c>
      <c r="H520" s="4">
        <v>0</v>
      </c>
    </row>
    <row r="521" spans="1:8" x14ac:dyDescent="0.2">
      <c r="A521" s="2" t="s">
        <v>77</v>
      </c>
      <c r="B521" s="4">
        <v>279</v>
      </c>
      <c r="C521" s="5">
        <v>19.93</v>
      </c>
      <c r="D521" s="4">
        <v>133</v>
      </c>
      <c r="E521" s="5">
        <v>19.05</v>
      </c>
      <c r="F521" s="4">
        <v>146</v>
      </c>
      <c r="G521" s="5">
        <v>21.31</v>
      </c>
      <c r="H521" s="4">
        <v>0</v>
      </c>
    </row>
    <row r="522" spans="1:8" x14ac:dyDescent="0.2">
      <c r="A522" s="2" t="s">
        <v>78</v>
      </c>
      <c r="B522" s="4">
        <v>14</v>
      </c>
      <c r="C522" s="5">
        <v>1</v>
      </c>
      <c r="D522" s="4">
        <v>1</v>
      </c>
      <c r="E522" s="5">
        <v>0.14000000000000001</v>
      </c>
      <c r="F522" s="4">
        <v>13</v>
      </c>
      <c r="G522" s="5">
        <v>1.9</v>
      </c>
      <c r="H522" s="4">
        <v>0</v>
      </c>
    </row>
    <row r="523" spans="1:8" x14ac:dyDescent="0.2">
      <c r="A523" s="2" t="s">
        <v>79</v>
      </c>
      <c r="B523" s="4">
        <v>81</v>
      </c>
      <c r="C523" s="5">
        <v>5.79</v>
      </c>
      <c r="D523" s="4">
        <v>22</v>
      </c>
      <c r="E523" s="5">
        <v>3.15</v>
      </c>
      <c r="F523" s="4">
        <v>59</v>
      </c>
      <c r="G523" s="5">
        <v>8.61</v>
      </c>
      <c r="H523" s="4">
        <v>0</v>
      </c>
    </row>
    <row r="524" spans="1:8" x14ac:dyDescent="0.2">
      <c r="A524" s="2" t="s">
        <v>80</v>
      </c>
      <c r="B524" s="4">
        <v>81</v>
      </c>
      <c r="C524" s="5">
        <v>5.79</v>
      </c>
      <c r="D524" s="4">
        <v>50</v>
      </c>
      <c r="E524" s="5">
        <v>7.16</v>
      </c>
      <c r="F524" s="4">
        <v>31</v>
      </c>
      <c r="G524" s="5">
        <v>4.53</v>
      </c>
      <c r="H524" s="4">
        <v>0</v>
      </c>
    </row>
    <row r="525" spans="1:8" x14ac:dyDescent="0.2">
      <c r="A525" s="2" t="s">
        <v>81</v>
      </c>
      <c r="B525" s="4">
        <v>185</v>
      </c>
      <c r="C525" s="5">
        <v>13.21</v>
      </c>
      <c r="D525" s="4">
        <v>140</v>
      </c>
      <c r="E525" s="5">
        <v>20.059999999999999</v>
      </c>
      <c r="F525" s="4">
        <v>43</v>
      </c>
      <c r="G525" s="5">
        <v>6.28</v>
      </c>
      <c r="H525" s="4">
        <v>1</v>
      </c>
    </row>
    <row r="526" spans="1:8" x14ac:dyDescent="0.2">
      <c r="A526" s="2" t="s">
        <v>82</v>
      </c>
      <c r="B526" s="4">
        <v>150</v>
      </c>
      <c r="C526" s="5">
        <v>10.71</v>
      </c>
      <c r="D526" s="4">
        <v>114</v>
      </c>
      <c r="E526" s="5">
        <v>16.329999999999998</v>
      </c>
      <c r="F526" s="4">
        <v>34</v>
      </c>
      <c r="G526" s="5">
        <v>4.96</v>
      </c>
      <c r="H526" s="4">
        <v>1</v>
      </c>
    </row>
    <row r="527" spans="1:8" x14ac:dyDescent="0.2">
      <c r="A527" s="2" t="s">
        <v>83</v>
      </c>
      <c r="B527" s="4">
        <v>75</v>
      </c>
      <c r="C527" s="5">
        <v>5.36</v>
      </c>
      <c r="D527" s="4">
        <v>50</v>
      </c>
      <c r="E527" s="5">
        <v>7.16</v>
      </c>
      <c r="F527" s="4">
        <v>22</v>
      </c>
      <c r="G527" s="5">
        <v>3.21</v>
      </c>
      <c r="H527" s="4">
        <v>0</v>
      </c>
    </row>
    <row r="528" spans="1:8" x14ac:dyDescent="0.2">
      <c r="A528" s="2" t="s">
        <v>84</v>
      </c>
      <c r="B528" s="4">
        <v>74</v>
      </c>
      <c r="C528" s="5">
        <v>5.29</v>
      </c>
      <c r="D528" s="4">
        <v>47</v>
      </c>
      <c r="E528" s="5">
        <v>6.73</v>
      </c>
      <c r="F528" s="4">
        <v>21</v>
      </c>
      <c r="G528" s="5">
        <v>3.07</v>
      </c>
      <c r="H528" s="4">
        <v>0</v>
      </c>
    </row>
    <row r="529" spans="1:8" x14ac:dyDescent="0.2">
      <c r="A529" s="2" t="s">
        <v>85</v>
      </c>
      <c r="B529" s="4">
        <v>49</v>
      </c>
      <c r="C529" s="5">
        <v>3.5</v>
      </c>
      <c r="D529" s="4">
        <v>20</v>
      </c>
      <c r="E529" s="5">
        <v>2.87</v>
      </c>
      <c r="F529" s="4">
        <v>25</v>
      </c>
      <c r="G529" s="5">
        <v>3.65</v>
      </c>
      <c r="H529" s="4">
        <v>3</v>
      </c>
    </row>
    <row r="530" spans="1:8" x14ac:dyDescent="0.2">
      <c r="A530" s="1" t="s">
        <v>33</v>
      </c>
      <c r="B530" s="4">
        <v>1439</v>
      </c>
      <c r="C530" s="5">
        <v>100.00999999999999</v>
      </c>
      <c r="D530" s="4">
        <v>751</v>
      </c>
      <c r="E530" s="5">
        <v>100.00999999999999</v>
      </c>
      <c r="F530" s="4">
        <v>679</v>
      </c>
      <c r="G530" s="5">
        <v>99.98</v>
      </c>
      <c r="H530" s="4">
        <v>2</v>
      </c>
    </row>
    <row r="531" spans="1:8" x14ac:dyDescent="0.2">
      <c r="A531" s="2" t="s">
        <v>71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72</v>
      </c>
      <c r="B532" s="4">
        <v>183</v>
      </c>
      <c r="C532" s="5">
        <v>12.72</v>
      </c>
      <c r="D532" s="4">
        <v>56</v>
      </c>
      <c r="E532" s="5">
        <v>7.46</v>
      </c>
      <c r="F532" s="4">
        <v>127</v>
      </c>
      <c r="G532" s="5">
        <v>18.7</v>
      </c>
      <c r="H532" s="4">
        <v>0</v>
      </c>
    </row>
    <row r="533" spans="1:8" x14ac:dyDescent="0.2">
      <c r="A533" s="2" t="s">
        <v>73</v>
      </c>
      <c r="B533" s="4">
        <v>217</v>
      </c>
      <c r="C533" s="5">
        <v>15.08</v>
      </c>
      <c r="D533" s="4">
        <v>97</v>
      </c>
      <c r="E533" s="5">
        <v>12.92</v>
      </c>
      <c r="F533" s="4">
        <v>120</v>
      </c>
      <c r="G533" s="5">
        <v>17.670000000000002</v>
      </c>
      <c r="H533" s="4">
        <v>0</v>
      </c>
    </row>
    <row r="534" spans="1:8" x14ac:dyDescent="0.2">
      <c r="A534" s="2" t="s">
        <v>74</v>
      </c>
      <c r="B534" s="4">
        <v>5</v>
      </c>
      <c r="C534" s="5">
        <v>0.35</v>
      </c>
      <c r="D534" s="4">
        <v>0</v>
      </c>
      <c r="E534" s="5">
        <v>0</v>
      </c>
      <c r="F534" s="4">
        <v>4</v>
      </c>
      <c r="G534" s="5">
        <v>0.59</v>
      </c>
      <c r="H534" s="4">
        <v>0</v>
      </c>
    </row>
    <row r="535" spans="1:8" x14ac:dyDescent="0.2">
      <c r="A535" s="2" t="s">
        <v>75</v>
      </c>
      <c r="B535" s="4">
        <v>20</v>
      </c>
      <c r="C535" s="5">
        <v>1.39</v>
      </c>
      <c r="D535" s="4">
        <v>2</v>
      </c>
      <c r="E535" s="5">
        <v>0.27</v>
      </c>
      <c r="F535" s="4">
        <v>18</v>
      </c>
      <c r="G535" s="5">
        <v>2.65</v>
      </c>
      <c r="H535" s="4">
        <v>0</v>
      </c>
    </row>
    <row r="536" spans="1:8" x14ac:dyDescent="0.2">
      <c r="A536" s="2" t="s">
        <v>76</v>
      </c>
      <c r="B536" s="4">
        <v>48</v>
      </c>
      <c r="C536" s="5">
        <v>3.34</v>
      </c>
      <c r="D536" s="4">
        <v>1</v>
      </c>
      <c r="E536" s="5">
        <v>0.13</v>
      </c>
      <c r="F536" s="4">
        <v>46</v>
      </c>
      <c r="G536" s="5">
        <v>6.77</v>
      </c>
      <c r="H536" s="4">
        <v>1</v>
      </c>
    </row>
    <row r="537" spans="1:8" x14ac:dyDescent="0.2">
      <c r="A537" s="2" t="s">
        <v>77</v>
      </c>
      <c r="B537" s="4">
        <v>339</v>
      </c>
      <c r="C537" s="5">
        <v>23.56</v>
      </c>
      <c r="D537" s="4">
        <v>175</v>
      </c>
      <c r="E537" s="5">
        <v>23.3</v>
      </c>
      <c r="F537" s="4">
        <v>164</v>
      </c>
      <c r="G537" s="5">
        <v>24.15</v>
      </c>
      <c r="H537" s="4">
        <v>0</v>
      </c>
    </row>
    <row r="538" spans="1:8" x14ac:dyDescent="0.2">
      <c r="A538" s="2" t="s">
        <v>78</v>
      </c>
      <c r="B538" s="4">
        <v>10</v>
      </c>
      <c r="C538" s="5">
        <v>0.69</v>
      </c>
      <c r="D538" s="4">
        <v>4</v>
      </c>
      <c r="E538" s="5">
        <v>0.53</v>
      </c>
      <c r="F538" s="4">
        <v>6</v>
      </c>
      <c r="G538" s="5">
        <v>0.88</v>
      </c>
      <c r="H538" s="4">
        <v>0</v>
      </c>
    </row>
    <row r="539" spans="1:8" x14ac:dyDescent="0.2">
      <c r="A539" s="2" t="s">
        <v>79</v>
      </c>
      <c r="B539" s="4">
        <v>83</v>
      </c>
      <c r="C539" s="5">
        <v>5.77</v>
      </c>
      <c r="D539" s="4">
        <v>37</v>
      </c>
      <c r="E539" s="5">
        <v>4.93</v>
      </c>
      <c r="F539" s="4">
        <v>46</v>
      </c>
      <c r="G539" s="5">
        <v>6.77</v>
      </c>
      <c r="H539" s="4">
        <v>0</v>
      </c>
    </row>
    <row r="540" spans="1:8" x14ac:dyDescent="0.2">
      <c r="A540" s="2" t="s">
        <v>80</v>
      </c>
      <c r="B540" s="4">
        <v>70</v>
      </c>
      <c r="C540" s="5">
        <v>4.8600000000000003</v>
      </c>
      <c r="D540" s="4">
        <v>50</v>
      </c>
      <c r="E540" s="5">
        <v>6.66</v>
      </c>
      <c r="F540" s="4">
        <v>20</v>
      </c>
      <c r="G540" s="5">
        <v>2.95</v>
      </c>
      <c r="H540" s="4">
        <v>0</v>
      </c>
    </row>
    <row r="541" spans="1:8" x14ac:dyDescent="0.2">
      <c r="A541" s="2" t="s">
        <v>81</v>
      </c>
      <c r="B541" s="4">
        <v>143</v>
      </c>
      <c r="C541" s="5">
        <v>9.94</v>
      </c>
      <c r="D541" s="4">
        <v>103</v>
      </c>
      <c r="E541" s="5">
        <v>13.72</v>
      </c>
      <c r="F541" s="4">
        <v>40</v>
      </c>
      <c r="G541" s="5">
        <v>5.89</v>
      </c>
      <c r="H541" s="4">
        <v>0</v>
      </c>
    </row>
    <row r="542" spans="1:8" x14ac:dyDescent="0.2">
      <c r="A542" s="2" t="s">
        <v>82</v>
      </c>
      <c r="B542" s="4">
        <v>158</v>
      </c>
      <c r="C542" s="5">
        <v>10.98</v>
      </c>
      <c r="D542" s="4">
        <v>127</v>
      </c>
      <c r="E542" s="5">
        <v>16.91</v>
      </c>
      <c r="F542" s="4">
        <v>31</v>
      </c>
      <c r="G542" s="5">
        <v>4.57</v>
      </c>
      <c r="H542" s="4">
        <v>0</v>
      </c>
    </row>
    <row r="543" spans="1:8" x14ac:dyDescent="0.2">
      <c r="A543" s="2" t="s">
        <v>83</v>
      </c>
      <c r="B543" s="4">
        <v>68</v>
      </c>
      <c r="C543" s="5">
        <v>4.7300000000000004</v>
      </c>
      <c r="D543" s="4">
        <v>57</v>
      </c>
      <c r="E543" s="5">
        <v>7.59</v>
      </c>
      <c r="F543" s="4">
        <v>11</v>
      </c>
      <c r="G543" s="5">
        <v>1.62</v>
      </c>
      <c r="H543" s="4">
        <v>0</v>
      </c>
    </row>
    <row r="544" spans="1:8" x14ac:dyDescent="0.2">
      <c r="A544" s="2" t="s">
        <v>84</v>
      </c>
      <c r="B544" s="4">
        <v>54</v>
      </c>
      <c r="C544" s="5">
        <v>3.75</v>
      </c>
      <c r="D544" s="4">
        <v>26</v>
      </c>
      <c r="E544" s="5">
        <v>3.46</v>
      </c>
      <c r="F544" s="4">
        <v>22</v>
      </c>
      <c r="G544" s="5">
        <v>3.24</v>
      </c>
      <c r="H544" s="4">
        <v>0</v>
      </c>
    </row>
    <row r="545" spans="1:8" x14ac:dyDescent="0.2">
      <c r="A545" s="2" t="s">
        <v>85</v>
      </c>
      <c r="B545" s="4">
        <v>41</v>
      </c>
      <c r="C545" s="5">
        <v>2.85</v>
      </c>
      <c r="D545" s="4">
        <v>16</v>
      </c>
      <c r="E545" s="5">
        <v>2.13</v>
      </c>
      <c r="F545" s="4">
        <v>24</v>
      </c>
      <c r="G545" s="5">
        <v>3.53</v>
      </c>
      <c r="H545" s="4">
        <v>1</v>
      </c>
    </row>
    <row r="546" spans="1:8" x14ac:dyDescent="0.2">
      <c r="A546" s="1" t="s">
        <v>34</v>
      </c>
      <c r="B546" s="4">
        <v>1845</v>
      </c>
      <c r="C546" s="5">
        <v>100.01</v>
      </c>
      <c r="D546" s="4">
        <v>972</v>
      </c>
      <c r="E546" s="5">
        <v>100.01</v>
      </c>
      <c r="F546" s="4">
        <v>861</v>
      </c>
      <c r="G546" s="5">
        <v>100.01999999999998</v>
      </c>
      <c r="H546" s="4">
        <v>1</v>
      </c>
    </row>
    <row r="547" spans="1:8" x14ac:dyDescent="0.2">
      <c r="A547" s="2" t="s">
        <v>71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72</v>
      </c>
      <c r="B548" s="4">
        <v>259</v>
      </c>
      <c r="C548" s="5">
        <v>14.04</v>
      </c>
      <c r="D548" s="4">
        <v>78</v>
      </c>
      <c r="E548" s="5">
        <v>8.02</v>
      </c>
      <c r="F548" s="4">
        <v>181</v>
      </c>
      <c r="G548" s="5">
        <v>21.02</v>
      </c>
      <c r="H548" s="4">
        <v>0</v>
      </c>
    </row>
    <row r="549" spans="1:8" x14ac:dyDescent="0.2">
      <c r="A549" s="2" t="s">
        <v>73</v>
      </c>
      <c r="B549" s="4">
        <v>268</v>
      </c>
      <c r="C549" s="5">
        <v>14.53</v>
      </c>
      <c r="D549" s="4">
        <v>97</v>
      </c>
      <c r="E549" s="5">
        <v>9.98</v>
      </c>
      <c r="F549" s="4">
        <v>171</v>
      </c>
      <c r="G549" s="5">
        <v>19.86</v>
      </c>
      <c r="H549" s="4">
        <v>0</v>
      </c>
    </row>
    <row r="550" spans="1:8" x14ac:dyDescent="0.2">
      <c r="A550" s="2" t="s">
        <v>74</v>
      </c>
      <c r="B550" s="4">
        <v>5</v>
      </c>
      <c r="C550" s="5">
        <v>0.27</v>
      </c>
      <c r="D550" s="4">
        <v>0</v>
      </c>
      <c r="E550" s="5">
        <v>0</v>
      </c>
      <c r="F550" s="4">
        <v>5</v>
      </c>
      <c r="G550" s="5">
        <v>0.57999999999999996</v>
      </c>
      <c r="H550" s="4">
        <v>0</v>
      </c>
    </row>
    <row r="551" spans="1:8" x14ac:dyDescent="0.2">
      <c r="A551" s="2" t="s">
        <v>75</v>
      </c>
      <c r="B551" s="4">
        <v>11</v>
      </c>
      <c r="C551" s="5">
        <v>0.6</v>
      </c>
      <c r="D551" s="4">
        <v>2</v>
      </c>
      <c r="E551" s="5">
        <v>0.21</v>
      </c>
      <c r="F551" s="4">
        <v>9</v>
      </c>
      <c r="G551" s="5">
        <v>1.05</v>
      </c>
      <c r="H551" s="4">
        <v>0</v>
      </c>
    </row>
    <row r="552" spans="1:8" x14ac:dyDescent="0.2">
      <c r="A552" s="2" t="s">
        <v>76</v>
      </c>
      <c r="B552" s="4">
        <v>11</v>
      </c>
      <c r="C552" s="5">
        <v>0.6</v>
      </c>
      <c r="D552" s="4">
        <v>2</v>
      </c>
      <c r="E552" s="5">
        <v>0.21</v>
      </c>
      <c r="F552" s="4">
        <v>9</v>
      </c>
      <c r="G552" s="5">
        <v>1.05</v>
      </c>
      <c r="H552" s="4">
        <v>0</v>
      </c>
    </row>
    <row r="553" spans="1:8" x14ac:dyDescent="0.2">
      <c r="A553" s="2" t="s">
        <v>77</v>
      </c>
      <c r="B553" s="4">
        <v>354</v>
      </c>
      <c r="C553" s="5">
        <v>19.190000000000001</v>
      </c>
      <c r="D553" s="4">
        <v>162</v>
      </c>
      <c r="E553" s="5">
        <v>16.670000000000002</v>
      </c>
      <c r="F553" s="4">
        <v>192</v>
      </c>
      <c r="G553" s="5">
        <v>22.3</v>
      </c>
      <c r="H553" s="4">
        <v>0</v>
      </c>
    </row>
    <row r="554" spans="1:8" x14ac:dyDescent="0.2">
      <c r="A554" s="2" t="s">
        <v>78</v>
      </c>
      <c r="B554" s="4">
        <v>9</v>
      </c>
      <c r="C554" s="5">
        <v>0.49</v>
      </c>
      <c r="D554" s="4">
        <v>0</v>
      </c>
      <c r="E554" s="5">
        <v>0</v>
      </c>
      <c r="F554" s="4">
        <v>9</v>
      </c>
      <c r="G554" s="5">
        <v>1.05</v>
      </c>
      <c r="H554" s="4">
        <v>0</v>
      </c>
    </row>
    <row r="555" spans="1:8" x14ac:dyDescent="0.2">
      <c r="A555" s="2" t="s">
        <v>79</v>
      </c>
      <c r="B555" s="4">
        <v>113</v>
      </c>
      <c r="C555" s="5">
        <v>6.12</v>
      </c>
      <c r="D555" s="4">
        <v>24</v>
      </c>
      <c r="E555" s="5">
        <v>2.4700000000000002</v>
      </c>
      <c r="F555" s="4">
        <v>88</v>
      </c>
      <c r="G555" s="5">
        <v>10.220000000000001</v>
      </c>
      <c r="H555" s="4">
        <v>1</v>
      </c>
    </row>
    <row r="556" spans="1:8" x14ac:dyDescent="0.2">
      <c r="A556" s="2" t="s">
        <v>80</v>
      </c>
      <c r="B556" s="4">
        <v>90</v>
      </c>
      <c r="C556" s="5">
        <v>4.88</v>
      </c>
      <c r="D556" s="4">
        <v>53</v>
      </c>
      <c r="E556" s="5">
        <v>5.45</v>
      </c>
      <c r="F556" s="4">
        <v>37</v>
      </c>
      <c r="G556" s="5">
        <v>4.3</v>
      </c>
      <c r="H556" s="4">
        <v>0</v>
      </c>
    </row>
    <row r="557" spans="1:8" x14ac:dyDescent="0.2">
      <c r="A557" s="2" t="s">
        <v>81</v>
      </c>
      <c r="B557" s="4">
        <v>219</v>
      </c>
      <c r="C557" s="5">
        <v>11.87</v>
      </c>
      <c r="D557" s="4">
        <v>188</v>
      </c>
      <c r="E557" s="5">
        <v>19.34</v>
      </c>
      <c r="F557" s="4">
        <v>31</v>
      </c>
      <c r="G557" s="5">
        <v>3.6</v>
      </c>
      <c r="H557" s="4">
        <v>0</v>
      </c>
    </row>
    <row r="558" spans="1:8" x14ac:dyDescent="0.2">
      <c r="A558" s="2" t="s">
        <v>82</v>
      </c>
      <c r="B558" s="4">
        <v>239</v>
      </c>
      <c r="C558" s="5">
        <v>12.95</v>
      </c>
      <c r="D558" s="4">
        <v>186</v>
      </c>
      <c r="E558" s="5">
        <v>19.14</v>
      </c>
      <c r="F558" s="4">
        <v>52</v>
      </c>
      <c r="G558" s="5">
        <v>6.04</v>
      </c>
      <c r="H558" s="4">
        <v>0</v>
      </c>
    </row>
    <row r="559" spans="1:8" x14ac:dyDescent="0.2">
      <c r="A559" s="2" t="s">
        <v>83</v>
      </c>
      <c r="B559" s="4">
        <v>110</v>
      </c>
      <c r="C559" s="5">
        <v>5.96</v>
      </c>
      <c r="D559" s="4">
        <v>82</v>
      </c>
      <c r="E559" s="5">
        <v>8.44</v>
      </c>
      <c r="F559" s="4">
        <v>24</v>
      </c>
      <c r="G559" s="5">
        <v>2.79</v>
      </c>
      <c r="H559" s="4">
        <v>0</v>
      </c>
    </row>
    <row r="560" spans="1:8" x14ac:dyDescent="0.2">
      <c r="A560" s="2" t="s">
        <v>84</v>
      </c>
      <c r="B560" s="4">
        <v>100</v>
      </c>
      <c r="C560" s="5">
        <v>5.42</v>
      </c>
      <c r="D560" s="4">
        <v>76</v>
      </c>
      <c r="E560" s="5">
        <v>7.82</v>
      </c>
      <c r="F560" s="4">
        <v>18</v>
      </c>
      <c r="G560" s="5">
        <v>2.09</v>
      </c>
      <c r="H560" s="4">
        <v>0</v>
      </c>
    </row>
    <row r="561" spans="1:8" x14ac:dyDescent="0.2">
      <c r="A561" s="2" t="s">
        <v>85</v>
      </c>
      <c r="B561" s="4">
        <v>57</v>
      </c>
      <c r="C561" s="5">
        <v>3.09</v>
      </c>
      <c r="D561" s="4">
        <v>22</v>
      </c>
      <c r="E561" s="5">
        <v>2.2599999999999998</v>
      </c>
      <c r="F561" s="4">
        <v>35</v>
      </c>
      <c r="G561" s="5">
        <v>4.07</v>
      </c>
      <c r="H561" s="4">
        <v>0</v>
      </c>
    </row>
    <row r="562" spans="1:8" x14ac:dyDescent="0.2">
      <c r="A562" s="1" t="s">
        <v>35</v>
      </c>
      <c r="B562" s="4">
        <v>3045</v>
      </c>
      <c r="C562" s="5">
        <v>100.01</v>
      </c>
      <c r="D562" s="4">
        <v>1040</v>
      </c>
      <c r="E562" s="5">
        <v>100</v>
      </c>
      <c r="F562" s="4">
        <v>1995</v>
      </c>
      <c r="G562" s="5">
        <v>99.98</v>
      </c>
      <c r="H562" s="4">
        <v>2</v>
      </c>
    </row>
    <row r="563" spans="1:8" x14ac:dyDescent="0.2">
      <c r="A563" s="2" t="s">
        <v>71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72</v>
      </c>
      <c r="B564" s="4">
        <v>414</v>
      </c>
      <c r="C564" s="5">
        <v>13.6</v>
      </c>
      <c r="D564" s="4">
        <v>62</v>
      </c>
      <c r="E564" s="5">
        <v>5.96</v>
      </c>
      <c r="F564" s="4">
        <v>352</v>
      </c>
      <c r="G564" s="5">
        <v>17.64</v>
      </c>
      <c r="H564" s="4">
        <v>0</v>
      </c>
    </row>
    <row r="565" spans="1:8" x14ac:dyDescent="0.2">
      <c r="A565" s="2" t="s">
        <v>73</v>
      </c>
      <c r="B565" s="4">
        <v>578</v>
      </c>
      <c r="C565" s="5">
        <v>18.98</v>
      </c>
      <c r="D565" s="4">
        <v>107</v>
      </c>
      <c r="E565" s="5">
        <v>10.29</v>
      </c>
      <c r="F565" s="4">
        <v>471</v>
      </c>
      <c r="G565" s="5">
        <v>23.61</v>
      </c>
      <c r="H565" s="4">
        <v>0</v>
      </c>
    </row>
    <row r="566" spans="1:8" x14ac:dyDescent="0.2">
      <c r="A566" s="2" t="s">
        <v>74</v>
      </c>
      <c r="B566" s="4">
        <v>5</v>
      </c>
      <c r="C566" s="5">
        <v>0.16</v>
      </c>
      <c r="D566" s="4">
        <v>0</v>
      </c>
      <c r="E566" s="5">
        <v>0</v>
      </c>
      <c r="F566" s="4">
        <v>5</v>
      </c>
      <c r="G566" s="5">
        <v>0.25</v>
      </c>
      <c r="H566" s="4">
        <v>0</v>
      </c>
    </row>
    <row r="567" spans="1:8" x14ac:dyDescent="0.2">
      <c r="A567" s="2" t="s">
        <v>75</v>
      </c>
      <c r="B567" s="4">
        <v>24</v>
      </c>
      <c r="C567" s="5">
        <v>0.79</v>
      </c>
      <c r="D567" s="4">
        <v>0</v>
      </c>
      <c r="E567" s="5">
        <v>0</v>
      </c>
      <c r="F567" s="4">
        <v>24</v>
      </c>
      <c r="G567" s="5">
        <v>1.2</v>
      </c>
      <c r="H567" s="4">
        <v>0</v>
      </c>
    </row>
    <row r="568" spans="1:8" x14ac:dyDescent="0.2">
      <c r="A568" s="2" t="s">
        <v>76</v>
      </c>
      <c r="B568" s="4">
        <v>94</v>
      </c>
      <c r="C568" s="5">
        <v>3.09</v>
      </c>
      <c r="D568" s="4">
        <v>2</v>
      </c>
      <c r="E568" s="5">
        <v>0.19</v>
      </c>
      <c r="F568" s="4">
        <v>92</v>
      </c>
      <c r="G568" s="5">
        <v>4.6100000000000003</v>
      </c>
      <c r="H568" s="4">
        <v>0</v>
      </c>
    </row>
    <row r="569" spans="1:8" x14ac:dyDescent="0.2">
      <c r="A569" s="2" t="s">
        <v>77</v>
      </c>
      <c r="B569" s="4">
        <v>598</v>
      </c>
      <c r="C569" s="5">
        <v>19.64</v>
      </c>
      <c r="D569" s="4">
        <v>195</v>
      </c>
      <c r="E569" s="5">
        <v>18.75</v>
      </c>
      <c r="F569" s="4">
        <v>403</v>
      </c>
      <c r="G569" s="5">
        <v>20.2</v>
      </c>
      <c r="H569" s="4">
        <v>0</v>
      </c>
    </row>
    <row r="570" spans="1:8" x14ac:dyDescent="0.2">
      <c r="A570" s="2" t="s">
        <v>78</v>
      </c>
      <c r="B570" s="4">
        <v>16</v>
      </c>
      <c r="C570" s="5">
        <v>0.53</v>
      </c>
      <c r="D570" s="4">
        <v>0</v>
      </c>
      <c r="E570" s="5">
        <v>0</v>
      </c>
      <c r="F570" s="4">
        <v>16</v>
      </c>
      <c r="G570" s="5">
        <v>0.8</v>
      </c>
      <c r="H570" s="4">
        <v>0</v>
      </c>
    </row>
    <row r="571" spans="1:8" x14ac:dyDescent="0.2">
      <c r="A571" s="2" t="s">
        <v>79</v>
      </c>
      <c r="B571" s="4">
        <v>274</v>
      </c>
      <c r="C571" s="5">
        <v>9</v>
      </c>
      <c r="D571" s="4">
        <v>49</v>
      </c>
      <c r="E571" s="5">
        <v>4.71</v>
      </c>
      <c r="F571" s="4">
        <v>224</v>
      </c>
      <c r="G571" s="5">
        <v>11.23</v>
      </c>
      <c r="H571" s="4">
        <v>0</v>
      </c>
    </row>
    <row r="572" spans="1:8" x14ac:dyDescent="0.2">
      <c r="A572" s="2" t="s">
        <v>80</v>
      </c>
      <c r="B572" s="4">
        <v>138</v>
      </c>
      <c r="C572" s="5">
        <v>4.53</v>
      </c>
      <c r="D572" s="4">
        <v>61</v>
      </c>
      <c r="E572" s="5">
        <v>5.87</v>
      </c>
      <c r="F572" s="4">
        <v>76</v>
      </c>
      <c r="G572" s="5">
        <v>3.81</v>
      </c>
      <c r="H572" s="4">
        <v>1</v>
      </c>
    </row>
    <row r="573" spans="1:8" x14ac:dyDescent="0.2">
      <c r="A573" s="2" t="s">
        <v>81</v>
      </c>
      <c r="B573" s="4">
        <v>249</v>
      </c>
      <c r="C573" s="5">
        <v>8.18</v>
      </c>
      <c r="D573" s="4">
        <v>184</v>
      </c>
      <c r="E573" s="5">
        <v>17.690000000000001</v>
      </c>
      <c r="F573" s="4">
        <v>63</v>
      </c>
      <c r="G573" s="5">
        <v>3.16</v>
      </c>
      <c r="H573" s="4">
        <v>0</v>
      </c>
    </row>
    <row r="574" spans="1:8" x14ac:dyDescent="0.2">
      <c r="A574" s="2" t="s">
        <v>82</v>
      </c>
      <c r="B574" s="4">
        <v>272</v>
      </c>
      <c r="C574" s="5">
        <v>8.93</v>
      </c>
      <c r="D574" s="4">
        <v>178</v>
      </c>
      <c r="E574" s="5">
        <v>17.12</v>
      </c>
      <c r="F574" s="4">
        <v>93</v>
      </c>
      <c r="G574" s="5">
        <v>4.66</v>
      </c>
      <c r="H574" s="4">
        <v>1</v>
      </c>
    </row>
    <row r="575" spans="1:8" x14ac:dyDescent="0.2">
      <c r="A575" s="2" t="s">
        <v>83</v>
      </c>
      <c r="B575" s="4">
        <v>129</v>
      </c>
      <c r="C575" s="5">
        <v>4.24</v>
      </c>
      <c r="D575" s="4">
        <v>91</v>
      </c>
      <c r="E575" s="5">
        <v>8.75</v>
      </c>
      <c r="F575" s="4">
        <v>33</v>
      </c>
      <c r="G575" s="5">
        <v>1.65</v>
      </c>
      <c r="H575" s="4">
        <v>0</v>
      </c>
    </row>
    <row r="576" spans="1:8" x14ac:dyDescent="0.2">
      <c r="A576" s="2" t="s">
        <v>84</v>
      </c>
      <c r="B576" s="4">
        <v>107</v>
      </c>
      <c r="C576" s="5">
        <v>3.51</v>
      </c>
      <c r="D576" s="4">
        <v>70</v>
      </c>
      <c r="E576" s="5">
        <v>6.73</v>
      </c>
      <c r="F576" s="4">
        <v>37</v>
      </c>
      <c r="G576" s="5">
        <v>1.85</v>
      </c>
      <c r="H576" s="4">
        <v>0</v>
      </c>
    </row>
    <row r="577" spans="1:8" x14ac:dyDescent="0.2">
      <c r="A577" s="2" t="s">
        <v>85</v>
      </c>
      <c r="B577" s="4">
        <v>147</v>
      </c>
      <c r="C577" s="5">
        <v>4.83</v>
      </c>
      <c r="D577" s="4">
        <v>41</v>
      </c>
      <c r="E577" s="5">
        <v>3.94</v>
      </c>
      <c r="F577" s="4">
        <v>106</v>
      </c>
      <c r="G577" s="5">
        <v>5.31</v>
      </c>
      <c r="H577" s="4">
        <v>0</v>
      </c>
    </row>
    <row r="578" spans="1:8" x14ac:dyDescent="0.2">
      <c r="A578" s="1" t="s">
        <v>36</v>
      </c>
      <c r="B578" s="4">
        <v>2301</v>
      </c>
      <c r="C578" s="5">
        <v>100</v>
      </c>
      <c r="D578" s="4">
        <v>1129</v>
      </c>
      <c r="E578" s="5">
        <v>100.01000000000002</v>
      </c>
      <c r="F578" s="4">
        <v>1146</v>
      </c>
      <c r="G578" s="5">
        <v>100.02999999999999</v>
      </c>
      <c r="H578" s="4">
        <v>3</v>
      </c>
    </row>
    <row r="579" spans="1:8" x14ac:dyDescent="0.2">
      <c r="A579" s="2" t="s">
        <v>71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72</v>
      </c>
      <c r="B580" s="4">
        <v>305</v>
      </c>
      <c r="C580" s="5">
        <v>13.26</v>
      </c>
      <c r="D580" s="4">
        <v>66</v>
      </c>
      <c r="E580" s="5">
        <v>5.85</v>
      </c>
      <c r="F580" s="4">
        <v>239</v>
      </c>
      <c r="G580" s="5">
        <v>20.86</v>
      </c>
      <c r="H580" s="4">
        <v>0</v>
      </c>
    </row>
    <row r="581" spans="1:8" x14ac:dyDescent="0.2">
      <c r="A581" s="2" t="s">
        <v>73</v>
      </c>
      <c r="B581" s="4">
        <v>338</v>
      </c>
      <c r="C581" s="5">
        <v>14.69</v>
      </c>
      <c r="D581" s="4">
        <v>143</v>
      </c>
      <c r="E581" s="5">
        <v>12.67</v>
      </c>
      <c r="F581" s="4">
        <v>195</v>
      </c>
      <c r="G581" s="5">
        <v>17.02</v>
      </c>
      <c r="H581" s="4">
        <v>0</v>
      </c>
    </row>
    <row r="582" spans="1:8" x14ac:dyDescent="0.2">
      <c r="A582" s="2" t="s">
        <v>74</v>
      </c>
      <c r="B582" s="4">
        <v>10</v>
      </c>
      <c r="C582" s="5">
        <v>0.43</v>
      </c>
      <c r="D582" s="4">
        <v>0</v>
      </c>
      <c r="E582" s="5">
        <v>0</v>
      </c>
      <c r="F582" s="4">
        <v>10</v>
      </c>
      <c r="G582" s="5">
        <v>0.87</v>
      </c>
      <c r="H582" s="4">
        <v>0</v>
      </c>
    </row>
    <row r="583" spans="1:8" x14ac:dyDescent="0.2">
      <c r="A583" s="2" t="s">
        <v>75</v>
      </c>
      <c r="B583" s="4">
        <v>20</v>
      </c>
      <c r="C583" s="5">
        <v>0.87</v>
      </c>
      <c r="D583" s="4">
        <v>0</v>
      </c>
      <c r="E583" s="5">
        <v>0</v>
      </c>
      <c r="F583" s="4">
        <v>20</v>
      </c>
      <c r="G583" s="5">
        <v>1.75</v>
      </c>
      <c r="H583" s="4">
        <v>0</v>
      </c>
    </row>
    <row r="584" spans="1:8" x14ac:dyDescent="0.2">
      <c r="A584" s="2" t="s">
        <v>76</v>
      </c>
      <c r="B584" s="4">
        <v>22</v>
      </c>
      <c r="C584" s="5">
        <v>0.96</v>
      </c>
      <c r="D584" s="4">
        <v>2</v>
      </c>
      <c r="E584" s="5">
        <v>0.18</v>
      </c>
      <c r="F584" s="4">
        <v>20</v>
      </c>
      <c r="G584" s="5">
        <v>1.75</v>
      </c>
      <c r="H584" s="4">
        <v>0</v>
      </c>
    </row>
    <row r="585" spans="1:8" x14ac:dyDescent="0.2">
      <c r="A585" s="2" t="s">
        <v>77</v>
      </c>
      <c r="B585" s="4">
        <v>477</v>
      </c>
      <c r="C585" s="5">
        <v>20.73</v>
      </c>
      <c r="D585" s="4">
        <v>208</v>
      </c>
      <c r="E585" s="5">
        <v>18.420000000000002</v>
      </c>
      <c r="F585" s="4">
        <v>268</v>
      </c>
      <c r="G585" s="5">
        <v>23.39</v>
      </c>
      <c r="H585" s="4">
        <v>1</v>
      </c>
    </row>
    <row r="586" spans="1:8" x14ac:dyDescent="0.2">
      <c r="A586" s="2" t="s">
        <v>78</v>
      </c>
      <c r="B586" s="4">
        <v>10</v>
      </c>
      <c r="C586" s="5">
        <v>0.43</v>
      </c>
      <c r="D586" s="4">
        <v>1</v>
      </c>
      <c r="E586" s="5">
        <v>0.09</v>
      </c>
      <c r="F586" s="4">
        <v>9</v>
      </c>
      <c r="G586" s="5">
        <v>0.79</v>
      </c>
      <c r="H586" s="4">
        <v>0</v>
      </c>
    </row>
    <row r="587" spans="1:8" x14ac:dyDescent="0.2">
      <c r="A587" s="2" t="s">
        <v>79</v>
      </c>
      <c r="B587" s="4">
        <v>200</v>
      </c>
      <c r="C587" s="5">
        <v>8.69</v>
      </c>
      <c r="D587" s="4">
        <v>86</v>
      </c>
      <c r="E587" s="5">
        <v>7.62</v>
      </c>
      <c r="F587" s="4">
        <v>114</v>
      </c>
      <c r="G587" s="5">
        <v>9.9499999999999993</v>
      </c>
      <c r="H587" s="4">
        <v>0</v>
      </c>
    </row>
    <row r="588" spans="1:8" x14ac:dyDescent="0.2">
      <c r="A588" s="2" t="s">
        <v>80</v>
      </c>
      <c r="B588" s="4">
        <v>102</v>
      </c>
      <c r="C588" s="5">
        <v>4.43</v>
      </c>
      <c r="D588" s="4">
        <v>49</v>
      </c>
      <c r="E588" s="5">
        <v>4.34</v>
      </c>
      <c r="F588" s="4">
        <v>53</v>
      </c>
      <c r="G588" s="5">
        <v>4.62</v>
      </c>
      <c r="H588" s="4">
        <v>0</v>
      </c>
    </row>
    <row r="589" spans="1:8" x14ac:dyDescent="0.2">
      <c r="A589" s="2" t="s">
        <v>81</v>
      </c>
      <c r="B589" s="4">
        <v>253</v>
      </c>
      <c r="C589" s="5">
        <v>11</v>
      </c>
      <c r="D589" s="4">
        <v>193</v>
      </c>
      <c r="E589" s="5">
        <v>17.09</v>
      </c>
      <c r="F589" s="4">
        <v>58</v>
      </c>
      <c r="G589" s="5">
        <v>5.0599999999999996</v>
      </c>
      <c r="H589" s="4">
        <v>0</v>
      </c>
    </row>
    <row r="590" spans="1:8" x14ac:dyDescent="0.2">
      <c r="A590" s="2" t="s">
        <v>82</v>
      </c>
      <c r="B590" s="4">
        <v>249</v>
      </c>
      <c r="C590" s="5">
        <v>10.82</v>
      </c>
      <c r="D590" s="4">
        <v>191</v>
      </c>
      <c r="E590" s="5">
        <v>16.920000000000002</v>
      </c>
      <c r="F590" s="4">
        <v>58</v>
      </c>
      <c r="G590" s="5">
        <v>5.0599999999999996</v>
      </c>
      <c r="H590" s="4">
        <v>0</v>
      </c>
    </row>
    <row r="591" spans="1:8" x14ac:dyDescent="0.2">
      <c r="A591" s="2" t="s">
        <v>83</v>
      </c>
      <c r="B591" s="4">
        <v>104</v>
      </c>
      <c r="C591" s="5">
        <v>4.5199999999999996</v>
      </c>
      <c r="D591" s="4">
        <v>65</v>
      </c>
      <c r="E591" s="5">
        <v>5.76</v>
      </c>
      <c r="F591" s="4">
        <v>31</v>
      </c>
      <c r="G591" s="5">
        <v>2.71</v>
      </c>
      <c r="H591" s="4">
        <v>1</v>
      </c>
    </row>
    <row r="592" spans="1:8" x14ac:dyDescent="0.2">
      <c r="A592" s="2" t="s">
        <v>84</v>
      </c>
      <c r="B592" s="4">
        <v>141</v>
      </c>
      <c r="C592" s="5">
        <v>6.13</v>
      </c>
      <c r="D592" s="4">
        <v>88</v>
      </c>
      <c r="E592" s="5">
        <v>7.79</v>
      </c>
      <c r="F592" s="4">
        <v>40</v>
      </c>
      <c r="G592" s="5">
        <v>3.49</v>
      </c>
      <c r="H592" s="4">
        <v>0</v>
      </c>
    </row>
    <row r="593" spans="1:8" x14ac:dyDescent="0.2">
      <c r="A593" s="2" t="s">
        <v>85</v>
      </c>
      <c r="B593" s="4">
        <v>70</v>
      </c>
      <c r="C593" s="5">
        <v>3.04</v>
      </c>
      <c r="D593" s="4">
        <v>37</v>
      </c>
      <c r="E593" s="5">
        <v>3.28</v>
      </c>
      <c r="F593" s="4">
        <v>31</v>
      </c>
      <c r="G593" s="5">
        <v>2.71</v>
      </c>
      <c r="H593" s="4">
        <v>1</v>
      </c>
    </row>
    <row r="594" spans="1:8" x14ac:dyDescent="0.2">
      <c r="A594" s="1" t="s">
        <v>37</v>
      </c>
      <c r="B594" s="4">
        <v>1153</v>
      </c>
      <c r="C594" s="5">
        <v>99.990000000000009</v>
      </c>
      <c r="D594" s="4">
        <v>668</v>
      </c>
      <c r="E594" s="5">
        <v>100.01</v>
      </c>
      <c r="F594" s="4">
        <v>469</v>
      </c>
      <c r="G594" s="5">
        <v>99.990000000000009</v>
      </c>
      <c r="H594" s="4">
        <v>5</v>
      </c>
    </row>
    <row r="595" spans="1:8" x14ac:dyDescent="0.2">
      <c r="A595" s="2" t="s">
        <v>71</v>
      </c>
      <c r="B595" s="4">
        <v>2</v>
      </c>
      <c r="C595" s="5">
        <v>0.17</v>
      </c>
      <c r="D595" s="4">
        <v>0</v>
      </c>
      <c r="E595" s="5">
        <v>0</v>
      </c>
      <c r="F595" s="4">
        <v>2</v>
      </c>
      <c r="G595" s="5">
        <v>0.43</v>
      </c>
      <c r="H595" s="4">
        <v>0</v>
      </c>
    </row>
    <row r="596" spans="1:8" x14ac:dyDescent="0.2">
      <c r="A596" s="2" t="s">
        <v>72</v>
      </c>
      <c r="B596" s="4">
        <v>217</v>
      </c>
      <c r="C596" s="5">
        <v>18.82</v>
      </c>
      <c r="D596" s="4">
        <v>99</v>
      </c>
      <c r="E596" s="5">
        <v>14.82</v>
      </c>
      <c r="F596" s="4">
        <v>118</v>
      </c>
      <c r="G596" s="5">
        <v>25.16</v>
      </c>
      <c r="H596" s="4">
        <v>0</v>
      </c>
    </row>
    <row r="597" spans="1:8" x14ac:dyDescent="0.2">
      <c r="A597" s="2" t="s">
        <v>73</v>
      </c>
      <c r="B597" s="4">
        <v>127</v>
      </c>
      <c r="C597" s="5">
        <v>11.01</v>
      </c>
      <c r="D597" s="4">
        <v>55</v>
      </c>
      <c r="E597" s="5">
        <v>8.23</v>
      </c>
      <c r="F597" s="4">
        <v>72</v>
      </c>
      <c r="G597" s="5">
        <v>15.35</v>
      </c>
      <c r="H597" s="4">
        <v>0</v>
      </c>
    </row>
    <row r="598" spans="1:8" x14ac:dyDescent="0.2">
      <c r="A598" s="2" t="s">
        <v>74</v>
      </c>
      <c r="B598" s="4">
        <v>3</v>
      </c>
      <c r="C598" s="5">
        <v>0.26</v>
      </c>
      <c r="D598" s="4">
        <v>0</v>
      </c>
      <c r="E598" s="5">
        <v>0</v>
      </c>
      <c r="F598" s="4">
        <v>3</v>
      </c>
      <c r="G598" s="5">
        <v>0.64</v>
      </c>
      <c r="H598" s="4">
        <v>0</v>
      </c>
    </row>
    <row r="599" spans="1:8" x14ac:dyDescent="0.2">
      <c r="A599" s="2" t="s">
        <v>75</v>
      </c>
      <c r="B599" s="4">
        <v>4</v>
      </c>
      <c r="C599" s="5">
        <v>0.35</v>
      </c>
      <c r="D599" s="4">
        <v>0</v>
      </c>
      <c r="E599" s="5">
        <v>0</v>
      </c>
      <c r="F599" s="4">
        <v>4</v>
      </c>
      <c r="G599" s="5">
        <v>0.85</v>
      </c>
      <c r="H599" s="4">
        <v>0</v>
      </c>
    </row>
    <row r="600" spans="1:8" x14ac:dyDescent="0.2">
      <c r="A600" s="2" t="s">
        <v>76</v>
      </c>
      <c r="B600" s="4">
        <v>17</v>
      </c>
      <c r="C600" s="5">
        <v>1.47</v>
      </c>
      <c r="D600" s="4">
        <v>2</v>
      </c>
      <c r="E600" s="5">
        <v>0.3</v>
      </c>
      <c r="F600" s="4">
        <v>15</v>
      </c>
      <c r="G600" s="5">
        <v>3.2</v>
      </c>
      <c r="H600" s="4">
        <v>0</v>
      </c>
    </row>
    <row r="601" spans="1:8" x14ac:dyDescent="0.2">
      <c r="A601" s="2" t="s">
        <v>77</v>
      </c>
      <c r="B601" s="4">
        <v>264</v>
      </c>
      <c r="C601" s="5">
        <v>22.9</v>
      </c>
      <c r="D601" s="4">
        <v>147</v>
      </c>
      <c r="E601" s="5">
        <v>22.01</v>
      </c>
      <c r="F601" s="4">
        <v>116</v>
      </c>
      <c r="G601" s="5">
        <v>24.73</v>
      </c>
      <c r="H601" s="4">
        <v>1</v>
      </c>
    </row>
    <row r="602" spans="1:8" x14ac:dyDescent="0.2">
      <c r="A602" s="2" t="s">
        <v>78</v>
      </c>
      <c r="B602" s="4">
        <v>5</v>
      </c>
      <c r="C602" s="5">
        <v>0.43</v>
      </c>
      <c r="D602" s="4">
        <v>3</v>
      </c>
      <c r="E602" s="5">
        <v>0.45</v>
      </c>
      <c r="F602" s="4">
        <v>2</v>
      </c>
      <c r="G602" s="5">
        <v>0.43</v>
      </c>
      <c r="H602" s="4">
        <v>0</v>
      </c>
    </row>
    <row r="603" spans="1:8" x14ac:dyDescent="0.2">
      <c r="A603" s="2" t="s">
        <v>79</v>
      </c>
      <c r="B603" s="4">
        <v>43</v>
      </c>
      <c r="C603" s="5">
        <v>3.73</v>
      </c>
      <c r="D603" s="4">
        <v>16</v>
      </c>
      <c r="E603" s="5">
        <v>2.4</v>
      </c>
      <c r="F603" s="4">
        <v>25</v>
      </c>
      <c r="G603" s="5">
        <v>5.33</v>
      </c>
      <c r="H603" s="4">
        <v>1</v>
      </c>
    </row>
    <row r="604" spans="1:8" x14ac:dyDescent="0.2">
      <c r="A604" s="2" t="s">
        <v>80</v>
      </c>
      <c r="B604" s="4">
        <v>51</v>
      </c>
      <c r="C604" s="5">
        <v>4.42</v>
      </c>
      <c r="D604" s="4">
        <v>28</v>
      </c>
      <c r="E604" s="5">
        <v>4.1900000000000004</v>
      </c>
      <c r="F604" s="4">
        <v>22</v>
      </c>
      <c r="G604" s="5">
        <v>4.6900000000000004</v>
      </c>
      <c r="H604" s="4">
        <v>1</v>
      </c>
    </row>
    <row r="605" spans="1:8" x14ac:dyDescent="0.2">
      <c r="A605" s="2" t="s">
        <v>81</v>
      </c>
      <c r="B605" s="4">
        <v>114</v>
      </c>
      <c r="C605" s="5">
        <v>9.89</v>
      </c>
      <c r="D605" s="4">
        <v>90</v>
      </c>
      <c r="E605" s="5">
        <v>13.47</v>
      </c>
      <c r="F605" s="4">
        <v>23</v>
      </c>
      <c r="G605" s="5">
        <v>4.9000000000000004</v>
      </c>
      <c r="H605" s="4">
        <v>0</v>
      </c>
    </row>
    <row r="606" spans="1:8" x14ac:dyDescent="0.2">
      <c r="A606" s="2" t="s">
        <v>82</v>
      </c>
      <c r="B606" s="4">
        <v>159</v>
      </c>
      <c r="C606" s="5">
        <v>13.79</v>
      </c>
      <c r="D606" s="4">
        <v>143</v>
      </c>
      <c r="E606" s="5">
        <v>21.41</v>
      </c>
      <c r="F606" s="4">
        <v>16</v>
      </c>
      <c r="G606" s="5">
        <v>3.41</v>
      </c>
      <c r="H606" s="4">
        <v>0</v>
      </c>
    </row>
    <row r="607" spans="1:8" x14ac:dyDescent="0.2">
      <c r="A607" s="2" t="s">
        <v>83</v>
      </c>
      <c r="B607" s="4">
        <v>48</v>
      </c>
      <c r="C607" s="5">
        <v>4.16</v>
      </c>
      <c r="D607" s="4">
        <v>36</v>
      </c>
      <c r="E607" s="5">
        <v>5.39</v>
      </c>
      <c r="F607" s="4">
        <v>9</v>
      </c>
      <c r="G607" s="5">
        <v>1.92</v>
      </c>
      <c r="H607" s="4">
        <v>0</v>
      </c>
    </row>
    <row r="608" spans="1:8" x14ac:dyDescent="0.2">
      <c r="A608" s="2" t="s">
        <v>84</v>
      </c>
      <c r="B608" s="4">
        <v>64</v>
      </c>
      <c r="C608" s="5">
        <v>5.55</v>
      </c>
      <c r="D608" s="4">
        <v>37</v>
      </c>
      <c r="E608" s="5">
        <v>5.54</v>
      </c>
      <c r="F608" s="4">
        <v>23</v>
      </c>
      <c r="G608" s="5">
        <v>4.9000000000000004</v>
      </c>
      <c r="H608" s="4">
        <v>0</v>
      </c>
    </row>
    <row r="609" spans="1:8" x14ac:dyDescent="0.2">
      <c r="A609" s="2" t="s">
        <v>85</v>
      </c>
      <c r="B609" s="4">
        <v>35</v>
      </c>
      <c r="C609" s="5">
        <v>3.04</v>
      </c>
      <c r="D609" s="4">
        <v>12</v>
      </c>
      <c r="E609" s="5">
        <v>1.8</v>
      </c>
      <c r="F609" s="4">
        <v>19</v>
      </c>
      <c r="G609" s="5">
        <v>4.05</v>
      </c>
      <c r="H609" s="4">
        <v>2</v>
      </c>
    </row>
    <row r="610" spans="1:8" x14ac:dyDescent="0.2">
      <c r="A610" s="1" t="s">
        <v>38</v>
      </c>
      <c r="B610" s="4">
        <v>2013</v>
      </c>
      <c r="C610" s="5">
        <v>100.00999999999999</v>
      </c>
      <c r="D610" s="4">
        <v>873</v>
      </c>
      <c r="E610" s="5">
        <v>99.999999999999986</v>
      </c>
      <c r="F610" s="4">
        <v>1121</v>
      </c>
      <c r="G610" s="5">
        <v>100.02</v>
      </c>
      <c r="H610" s="4">
        <v>3</v>
      </c>
    </row>
    <row r="611" spans="1:8" x14ac:dyDescent="0.2">
      <c r="A611" s="2" t="s">
        <v>71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72</v>
      </c>
      <c r="B612" s="4">
        <v>334</v>
      </c>
      <c r="C612" s="5">
        <v>16.59</v>
      </c>
      <c r="D612" s="4">
        <v>64</v>
      </c>
      <c r="E612" s="5">
        <v>7.33</v>
      </c>
      <c r="F612" s="4">
        <v>270</v>
      </c>
      <c r="G612" s="5">
        <v>24.09</v>
      </c>
      <c r="H612" s="4">
        <v>0</v>
      </c>
    </row>
    <row r="613" spans="1:8" x14ac:dyDescent="0.2">
      <c r="A613" s="2" t="s">
        <v>73</v>
      </c>
      <c r="B613" s="4">
        <v>206</v>
      </c>
      <c r="C613" s="5">
        <v>10.23</v>
      </c>
      <c r="D613" s="4">
        <v>49</v>
      </c>
      <c r="E613" s="5">
        <v>5.61</v>
      </c>
      <c r="F613" s="4">
        <v>157</v>
      </c>
      <c r="G613" s="5">
        <v>14.01</v>
      </c>
      <c r="H613" s="4">
        <v>0</v>
      </c>
    </row>
    <row r="614" spans="1:8" x14ac:dyDescent="0.2">
      <c r="A614" s="2" t="s">
        <v>74</v>
      </c>
      <c r="B614" s="4">
        <v>1</v>
      </c>
      <c r="C614" s="5">
        <v>0.05</v>
      </c>
      <c r="D614" s="4">
        <v>0</v>
      </c>
      <c r="E614" s="5">
        <v>0</v>
      </c>
      <c r="F614" s="4">
        <v>1</v>
      </c>
      <c r="G614" s="5">
        <v>0.09</v>
      </c>
      <c r="H614" s="4">
        <v>0</v>
      </c>
    </row>
    <row r="615" spans="1:8" x14ac:dyDescent="0.2">
      <c r="A615" s="2" t="s">
        <v>75</v>
      </c>
      <c r="B615" s="4">
        <v>11</v>
      </c>
      <c r="C615" s="5">
        <v>0.55000000000000004</v>
      </c>
      <c r="D615" s="4">
        <v>0</v>
      </c>
      <c r="E615" s="5">
        <v>0</v>
      </c>
      <c r="F615" s="4">
        <v>11</v>
      </c>
      <c r="G615" s="5">
        <v>0.98</v>
      </c>
      <c r="H615" s="4">
        <v>0</v>
      </c>
    </row>
    <row r="616" spans="1:8" x14ac:dyDescent="0.2">
      <c r="A616" s="2" t="s">
        <v>76</v>
      </c>
      <c r="B616" s="4">
        <v>43</v>
      </c>
      <c r="C616" s="5">
        <v>2.14</v>
      </c>
      <c r="D616" s="4">
        <v>1</v>
      </c>
      <c r="E616" s="5">
        <v>0.11</v>
      </c>
      <c r="F616" s="4">
        <v>42</v>
      </c>
      <c r="G616" s="5">
        <v>3.75</v>
      </c>
      <c r="H616" s="4">
        <v>0</v>
      </c>
    </row>
    <row r="617" spans="1:8" x14ac:dyDescent="0.2">
      <c r="A617" s="2" t="s">
        <v>77</v>
      </c>
      <c r="B617" s="4">
        <v>357</v>
      </c>
      <c r="C617" s="5">
        <v>17.73</v>
      </c>
      <c r="D617" s="4">
        <v>116</v>
      </c>
      <c r="E617" s="5">
        <v>13.29</v>
      </c>
      <c r="F617" s="4">
        <v>241</v>
      </c>
      <c r="G617" s="5">
        <v>21.5</v>
      </c>
      <c r="H617" s="4">
        <v>0</v>
      </c>
    </row>
    <row r="618" spans="1:8" x14ac:dyDescent="0.2">
      <c r="A618" s="2" t="s">
        <v>78</v>
      </c>
      <c r="B618" s="4">
        <v>15</v>
      </c>
      <c r="C618" s="5">
        <v>0.75</v>
      </c>
      <c r="D618" s="4">
        <v>2</v>
      </c>
      <c r="E618" s="5">
        <v>0.23</v>
      </c>
      <c r="F618" s="4">
        <v>13</v>
      </c>
      <c r="G618" s="5">
        <v>1.1599999999999999</v>
      </c>
      <c r="H618" s="4">
        <v>0</v>
      </c>
    </row>
    <row r="619" spans="1:8" x14ac:dyDescent="0.2">
      <c r="A619" s="2" t="s">
        <v>79</v>
      </c>
      <c r="B619" s="4">
        <v>195</v>
      </c>
      <c r="C619" s="5">
        <v>9.69</v>
      </c>
      <c r="D619" s="4">
        <v>88</v>
      </c>
      <c r="E619" s="5">
        <v>10.08</v>
      </c>
      <c r="F619" s="4">
        <v>107</v>
      </c>
      <c r="G619" s="5">
        <v>9.5500000000000007</v>
      </c>
      <c r="H619" s="4">
        <v>0</v>
      </c>
    </row>
    <row r="620" spans="1:8" x14ac:dyDescent="0.2">
      <c r="A620" s="2" t="s">
        <v>80</v>
      </c>
      <c r="B620" s="4">
        <v>72</v>
      </c>
      <c r="C620" s="5">
        <v>3.58</v>
      </c>
      <c r="D620" s="4">
        <v>36</v>
      </c>
      <c r="E620" s="5">
        <v>4.12</v>
      </c>
      <c r="F620" s="4">
        <v>36</v>
      </c>
      <c r="G620" s="5">
        <v>3.21</v>
      </c>
      <c r="H620" s="4">
        <v>0</v>
      </c>
    </row>
    <row r="621" spans="1:8" x14ac:dyDescent="0.2">
      <c r="A621" s="2" t="s">
        <v>81</v>
      </c>
      <c r="B621" s="4">
        <v>261</v>
      </c>
      <c r="C621" s="5">
        <v>12.97</v>
      </c>
      <c r="D621" s="4">
        <v>191</v>
      </c>
      <c r="E621" s="5">
        <v>21.88</v>
      </c>
      <c r="F621" s="4">
        <v>68</v>
      </c>
      <c r="G621" s="5">
        <v>6.07</v>
      </c>
      <c r="H621" s="4">
        <v>0</v>
      </c>
    </row>
    <row r="622" spans="1:8" x14ac:dyDescent="0.2">
      <c r="A622" s="2" t="s">
        <v>82</v>
      </c>
      <c r="B622" s="4">
        <v>273</v>
      </c>
      <c r="C622" s="5">
        <v>13.56</v>
      </c>
      <c r="D622" s="4">
        <v>187</v>
      </c>
      <c r="E622" s="5">
        <v>21.42</v>
      </c>
      <c r="F622" s="4">
        <v>82</v>
      </c>
      <c r="G622" s="5">
        <v>7.31</v>
      </c>
      <c r="H622" s="4">
        <v>1</v>
      </c>
    </row>
    <row r="623" spans="1:8" x14ac:dyDescent="0.2">
      <c r="A623" s="2" t="s">
        <v>83</v>
      </c>
      <c r="B623" s="4">
        <v>87</v>
      </c>
      <c r="C623" s="5">
        <v>4.32</v>
      </c>
      <c r="D623" s="4">
        <v>61</v>
      </c>
      <c r="E623" s="5">
        <v>6.99</v>
      </c>
      <c r="F623" s="4">
        <v>22</v>
      </c>
      <c r="G623" s="5">
        <v>1.96</v>
      </c>
      <c r="H623" s="4">
        <v>1</v>
      </c>
    </row>
    <row r="624" spans="1:8" x14ac:dyDescent="0.2">
      <c r="A624" s="2" t="s">
        <v>84</v>
      </c>
      <c r="B624" s="4">
        <v>95</v>
      </c>
      <c r="C624" s="5">
        <v>4.72</v>
      </c>
      <c r="D624" s="4">
        <v>57</v>
      </c>
      <c r="E624" s="5">
        <v>6.53</v>
      </c>
      <c r="F624" s="4">
        <v>30</v>
      </c>
      <c r="G624" s="5">
        <v>2.68</v>
      </c>
      <c r="H624" s="4">
        <v>0</v>
      </c>
    </row>
    <row r="625" spans="1:8" x14ac:dyDescent="0.2">
      <c r="A625" s="2" t="s">
        <v>85</v>
      </c>
      <c r="B625" s="4">
        <v>63</v>
      </c>
      <c r="C625" s="5">
        <v>3.13</v>
      </c>
      <c r="D625" s="4">
        <v>21</v>
      </c>
      <c r="E625" s="5">
        <v>2.41</v>
      </c>
      <c r="F625" s="4">
        <v>41</v>
      </c>
      <c r="G625" s="5">
        <v>3.66</v>
      </c>
      <c r="H625" s="4">
        <v>1</v>
      </c>
    </row>
    <row r="626" spans="1:8" x14ac:dyDescent="0.2">
      <c r="A626" s="1" t="s">
        <v>39</v>
      </c>
      <c r="B626" s="4">
        <v>1769</v>
      </c>
      <c r="C626" s="5">
        <v>100.00000000000001</v>
      </c>
      <c r="D626" s="4">
        <v>798</v>
      </c>
      <c r="E626" s="5">
        <v>100.01999999999998</v>
      </c>
      <c r="F626" s="4">
        <v>963</v>
      </c>
      <c r="G626" s="5">
        <v>99.999999999999986</v>
      </c>
      <c r="H626" s="4">
        <v>5</v>
      </c>
    </row>
    <row r="627" spans="1:8" x14ac:dyDescent="0.2">
      <c r="A627" s="2" t="s">
        <v>71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72</v>
      </c>
      <c r="B628" s="4">
        <v>281</v>
      </c>
      <c r="C628" s="5">
        <v>15.88</v>
      </c>
      <c r="D628" s="4">
        <v>65</v>
      </c>
      <c r="E628" s="5">
        <v>8.15</v>
      </c>
      <c r="F628" s="4">
        <v>216</v>
      </c>
      <c r="G628" s="5">
        <v>22.43</v>
      </c>
      <c r="H628" s="4">
        <v>0</v>
      </c>
    </row>
    <row r="629" spans="1:8" x14ac:dyDescent="0.2">
      <c r="A629" s="2" t="s">
        <v>73</v>
      </c>
      <c r="B629" s="4">
        <v>269</v>
      </c>
      <c r="C629" s="5">
        <v>15.21</v>
      </c>
      <c r="D629" s="4">
        <v>48</v>
      </c>
      <c r="E629" s="5">
        <v>6.02</v>
      </c>
      <c r="F629" s="4">
        <v>221</v>
      </c>
      <c r="G629" s="5">
        <v>22.95</v>
      </c>
      <c r="H629" s="4">
        <v>0</v>
      </c>
    </row>
    <row r="630" spans="1:8" x14ac:dyDescent="0.2">
      <c r="A630" s="2" t="s">
        <v>74</v>
      </c>
      <c r="B630" s="4">
        <v>2</v>
      </c>
      <c r="C630" s="5">
        <v>0.11</v>
      </c>
      <c r="D630" s="4">
        <v>0</v>
      </c>
      <c r="E630" s="5">
        <v>0</v>
      </c>
      <c r="F630" s="4">
        <v>2</v>
      </c>
      <c r="G630" s="5">
        <v>0.21</v>
      </c>
      <c r="H630" s="4">
        <v>0</v>
      </c>
    </row>
    <row r="631" spans="1:8" x14ac:dyDescent="0.2">
      <c r="A631" s="2" t="s">
        <v>75</v>
      </c>
      <c r="B631" s="4">
        <v>9</v>
      </c>
      <c r="C631" s="5">
        <v>0.51</v>
      </c>
      <c r="D631" s="4">
        <v>1</v>
      </c>
      <c r="E631" s="5">
        <v>0.13</v>
      </c>
      <c r="F631" s="4">
        <v>8</v>
      </c>
      <c r="G631" s="5">
        <v>0.83</v>
      </c>
      <c r="H631" s="4">
        <v>0</v>
      </c>
    </row>
    <row r="632" spans="1:8" x14ac:dyDescent="0.2">
      <c r="A632" s="2" t="s">
        <v>76</v>
      </c>
      <c r="B632" s="4">
        <v>23</v>
      </c>
      <c r="C632" s="5">
        <v>1.3</v>
      </c>
      <c r="D632" s="4">
        <v>3</v>
      </c>
      <c r="E632" s="5">
        <v>0.38</v>
      </c>
      <c r="F632" s="4">
        <v>20</v>
      </c>
      <c r="G632" s="5">
        <v>2.08</v>
      </c>
      <c r="H632" s="4">
        <v>0</v>
      </c>
    </row>
    <row r="633" spans="1:8" x14ac:dyDescent="0.2">
      <c r="A633" s="2" t="s">
        <v>77</v>
      </c>
      <c r="B633" s="4">
        <v>323</v>
      </c>
      <c r="C633" s="5">
        <v>18.260000000000002</v>
      </c>
      <c r="D633" s="4">
        <v>124</v>
      </c>
      <c r="E633" s="5">
        <v>15.54</v>
      </c>
      <c r="F633" s="4">
        <v>198</v>
      </c>
      <c r="G633" s="5">
        <v>20.56</v>
      </c>
      <c r="H633" s="4">
        <v>1</v>
      </c>
    </row>
    <row r="634" spans="1:8" x14ac:dyDescent="0.2">
      <c r="A634" s="2" t="s">
        <v>78</v>
      </c>
      <c r="B634" s="4">
        <v>11</v>
      </c>
      <c r="C634" s="5">
        <v>0.62</v>
      </c>
      <c r="D634" s="4">
        <v>2</v>
      </c>
      <c r="E634" s="5">
        <v>0.25</v>
      </c>
      <c r="F634" s="4">
        <v>9</v>
      </c>
      <c r="G634" s="5">
        <v>0.93</v>
      </c>
      <c r="H634" s="4">
        <v>0</v>
      </c>
    </row>
    <row r="635" spans="1:8" x14ac:dyDescent="0.2">
      <c r="A635" s="2" t="s">
        <v>79</v>
      </c>
      <c r="B635" s="4">
        <v>200</v>
      </c>
      <c r="C635" s="5">
        <v>11.31</v>
      </c>
      <c r="D635" s="4">
        <v>111</v>
      </c>
      <c r="E635" s="5">
        <v>13.91</v>
      </c>
      <c r="F635" s="4">
        <v>89</v>
      </c>
      <c r="G635" s="5">
        <v>9.24</v>
      </c>
      <c r="H635" s="4">
        <v>0</v>
      </c>
    </row>
    <row r="636" spans="1:8" x14ac:dyDescent="0.2">
      <c r="A636" s="2" t="s">
        <v>80</v>
      </c>
      <c r="B636" s="4">
        <v>78</v>
      </c>
      <c r="C636" s="5">
        <v>4.41</v>
      </c>
      <c r="D636" s="4">
        <v>48</v>
      </c>
      <c r="E636" s="5">
        <v>6.02</v>
      </c>
      <c r="F636" s="4">
        <v>30</v>
      </c>
      <c r="G636" s="5">
        <v>3.12</v>
      </c>
      <c r="H636" s="4">
        <v>0</v>
      </c>
    </row>
    <row r="637" spans="1:8" x14ac:dyDescent="0.2">
      <c r="A637" s="2" t="s">
        <v>81</v>
      </c>
      <c r="B637" s="4">
        <v>153</v>
      </c>
      <c r="C637" s="5">
        <v>8.65</v>
      </c>
      <c r="D637" s="4">
        <v>111</v>
      </c>
      <c r="E637" s="5">
        <v>13.91</v>
      </c>
      <c r="F637" s="4">
        <v>42</v>
      </c>
      <c r="G637" s="5">
        <v>4.3600000000000003</v>
      </c>
      <c r="H637" s="4">
        <v>0</v>
      </c>
    </row>
    <row r="638" spans="1:8" x14ac:dyDescent="0.2">
      <c r="A638" s="2" t="s">
        <v>82</v>
      </c>
      <c r="B638" s="4">
        <v>204</v>
      </c>
      <c r="C638" s="5">
        <v>11.53</v>
      </c>
      <c r="D638" s="4">
        <v>153</v>
      </c>
      <c r="E638" s="5">
        <v>19.170000000000002</v>
      </c>
      <c r="F638" s="4">
        <v>50</v>
      </c>
      <c r="G638" s="5">
        <v>5.19</v>
      </c>
      <c r="H638" s="4">
        <v>1</v>
      </c>
    </row>
    <row r="639" spans="1:8" x14ac:dyDescent="0.2">
      <c r="A639" s="2" t="s">
        <v>83</v>
      </c>
      <c r="B639" s="4">
        <v>86</v>
      </c>
      <c r="C639" s="5">
        <v>4.8600000000000003</v>
      </c>
      <c r="D639" s="4">
        <v>66</v>
      </c>
      <c r="E639" s="5">
        <v>8.27</v>
      </c>
      <c r="F639" s="4">
        <v>17</v>
      </c>
      <c r="G639" s="5">
        <v>1.77</v>
      </c>
      <c r="H639" s="4">
        <v>2</v>
      </c>
    </row>
    <row r="640" spans="1:8" x14ac:dyDescent="0.2">
      <c r="A640" s="2" t="s">
        <v>84</v>
      </c>
      <c r="B640" s="4">
        <v>75</v>
      </c>
      <c r="C640" s="5">
        <v>4.24</v>
      </c>
      <c r="D640" s="4">
        <v>52</v>
      </c>
      <c r="E640" s="5">
        <v>6.52</v>
      </c>
      <c r="F640" s="4">
        <v>22</v>
      </c>
      <c r="G640" s="5">
        <v>2.2799999999999998</v>
      </c>
      <c r="H640" s="4">
        <v>1</v>
      </c>
    </row>
    <row r="641" spans="1:8" x14ac:dyDescent="0.2">
      <c r="A641" s="2" t="s">
        <v>85</v>
      </c>
      <c r="B641" s="4">
        <v>55</v>
      </c>
      <c r="C641" s="5">
        <v>3.11</v>
      </c>
      <c r="D641" s="4">
        <v>14</v>
      </c>
      <c r="E641" s="5">
        <v>1.75</v>
      </c>
      <c r="F641" s="4">
        <v>39</v>
      </c>
      <c r="G641" s="5">
        <v>4.05</v>
      </c>
      <c r="H641" s="4">
        <v>0</v>
      </c>
    </row>
    <row r="642" spans="1:8" x14ac:dyDescent="0.2">
      <c r="A642" s="1" t="s">
        <v>40</v>
      </c>
      <c r="B642" s="4">
        <v>1261</v>
      </c>
      <c r="C642" s="5">
        <v>100.00000000000001</v>
      </c>
      <c r="D642" s="4">
        <v>674</v>
      </c>
      <c r="E642" s="5">
        <v>100.01000000000002</v>
      </c>
      <c r="F642" s="4">
        <v>567</v>
      </c>
      <c r="G642" s="5">
        <v>100.00000000000001</v>
      </c>
      <c r="H642" s="4">
        <v>2</v>
      </c>
    </row>
    <row r="643" spans="1:8" x14ac:dyDescent="0.2">
      <c r="A643" s="2" t="s">
        <v>71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72</v>
      </c>
      <c r="B644" s="4">
        <v>234</v>
      </c>
      <c r="C644" s="5">
        <v>18.559999999999999</v>
      </c>
      <c r="D644" s="4">
        <v>55</v>
      </c>
      <c r="E644" s="5">
        <v>8.16</v>
      </c>
      <c r="F644" s="4">
        <v>179</v>
      </c>
      <c r="G644" s="5">
        <v>31.57</v>
      </c>
      <c r="H644" s="4">
        <v>0</v>
      </c>
    </row>
    <row r="645" spans="1:8" x14ac:dyDescent="0.2">
      <c r="A645" s="2" t="s">
        <v>73</v>
      </c>
      <c r="B645" s="4">
        <v>75</v>
      </c>
      <c r="C645" s="5">
        <v>5.95</v>
      </c>
      <c r="D645" s="4">
        <v>33</v>
      </c>
      <c r="E645" s="5">
        <v>4.9000000000000004</v>
      </c>
      <c r="F645" s="4">
        <v>42</v>
      </c>
      <c r="G645" s="5">
        <v>7.41</v>
      </c>
      <c r="H645" s="4">
        <v>0</v>
      </c>
    </row>
    <row r="646" spans="1:8" x14ac:dyDescent="0.2">
      <c r="A646" s="2" t="s">
        <v>74</v>
      </c>
      <c r="B646" s="4">
        <v>2</v>
      </c>
      <c r="C646" s="5">
        <v>0.16</v>
      </c>
      <c r="D646" s="4">
        <v>0</v>
      </c>
      <c r="E646" s="5">
        <v>0</v>
      </c>
      <c r="F646" s="4">
        <v>2</v>
      </c>
      <c r="G646" s="5">
        <v>0.35</v>
      </c>
      <c r="H646" s="4">
        <v>0</v>
      </c>
    </row>
    <row r="647" spans="1:8" x14ac:dyDescent="0.2">
      <c r="A647" s="2" t="s">
        <v>75</v>
      </c>
      <c r="B647" s="4">
        <v>8</v>
      </c>
      <c r="C647" s="5">
        <v>0.63</v>
      </c>
      <c r="D647" s="4">
        <v>0</v>
      </c>
      <c r="E647" s="5">
        <v>0</v>
      </c>
      <c r="F647" s="4">
        <v>8</v>
      </c>
      <c r="G647" s="5">
        <v>1.41</v>
      </c>
      <c r="H647" s="4">
        <v>0</v>
      </c>
    </row>
    <row r="648" spans="1:8" x14ac:dyDescent="0.2">
      <c r="A648" s="2" t="s">
        <v>76</v>
      </c>
      <c r="B648" s="4">
        <v>18</v>
      </c>
      <c r="C648" s="5">
        <v>1.43</v>
      </c>
      <c r="D648" s="4">
        <v>0</v>
      </c>
      <c r="E648" s="5">
        <v>0</v>
      </c>
      <c r="F648" s="4">
        <v>18</v>
      </c>
      <c r="G648" s="5">
        <v>3.17</v>
      </c>
      <c r="H648" s="4">
        <v>0</v>
      </c>
    </row>
    <row r="649" spans="1:8" x14ac:dyDescent="0.2">
      <c r="A649" s="2" t="s">
        <v>77</v>
      </c>
      <c r="B649" s="4">
        <v>237</v>
      </c>
      <c r="C649" s="5">
        <v>18.79</v>
      </c>
      <c r="D649" s="4">
        <v>137</v>
      </c>
      <c r="E649" s="5">
        <v>20.329999999999998</v>
      </c>
      <c r="F649" s="4">
        <v>99</v>
      </c>
      <c r="G649" s="5">
        <v>17.46</v>
      </c>
      <c r="H649" s="4">
        <v>1</v>
      </c>
    </row>
    <row r="650" spans="1:8" x14ac:dyDescent="0.2">
      <c r="A650" s="2" t="s">
        <v>78</v>
      </c>
      <c r="B650" s="4">
        <v>5</v>
      </c>
      <c r="C650" s="5">
        <v>0.4</v>
      </c>
      <c r="D650" s="4">
        <v>0</v>
      </c>
      <c r="E650" s="5">
        <v>0</v>
      </c>
      <c r="F650" s="4">
        <v>5</v>
      </c>
      <c r="G650" s="5">
        <v>0.88</v>
      </c>
      <c r="H650" s="4">
        <v>0</v>
      </c>
    </row>
    <row r="651" spans="1:8" x14ac:dyDescent="0.2">
      <c r="A651" s="2" t="s">
        <v>79</v>
      </c>
      <c r="B651" s="4">
        <v>120</v>
      </c>
      <c r="C651" s="5">
        <v>9.52</v>
      </c>
      <c r="D651" s="4">
        <v>66</v>
      </c>
      <c r="E651" s="5">
        <v>9.7899999999999991</v>
      </c>
      <c r="F651" s="4">
        <v>54</v>
      </c>
      <c r="G651" s="5">
        <v>9.52</v>
      </c>
      <c r="H651" s="4">
        <v>0</v>
      </c>
    </row>
    <row r="652" spans="1:8" x14ac:dyDescent="0.2">
      <c r="A652" s="2" t="s">
        <v>80</v>
      </c>
      <c r="B652" s="4">
        <v>51</v>
      </c>
      <c r="C652" s="5">
        <v>4.04</v>
      </c>
      <c r="D652" s="4">
        <v>26</v>
      </c>
      <c r="E652" s="5">
        <v>3.86</v>
      </c>
      <c r="F652" s="4">
        <v>25</v>
      </c>
      <c r="G652" s="5">
        <v>4.41</v>
      </c>
      <c r="H652" s="4">
        <v>0</v>
      </c>
    </row>
    <row r="653" spans="1:8" x14ac:dyDescent="0.2">
      <c r="A653" s="2" t="s">
        <v>81</v>
      </c>
      <c r="B653" s="4">
        <v>151</v>
      </c>
      <c r="C653" s="5">
        <v>11.97</v>
      </c>
      <c r="D653" s="4">
        <v>119</v>
      </c>
      <c r="E653" s="5">
        <v>17.66</v>
      </c>
      <c r="F653" s="4">
        <v>31</v>
      </c>
      <c r="G653" s="5">
        <v>5.47</v>
      </c>
      <c r="H653" s="4">
        <v>0</v>
      </c>
    </row>
    <row r="654" spans="1:8" x14ac:dyDescent="0.2">
      <c r="A654" s="2" t="s">
        <v>82</v>
      </c>
      <c r="B654" s="4">
        <v>170</v>
      </c>
      <c r="C654" s="5">
        <v>13.48</v>
      </c>
      <c r="D654" s="4">
        <v>127</v>
      </c>
      <c r="E654" s="5">
        <v>18.84</v>
      </c>
      <c r="F654" s="4">
        <v>34</v>
      </c>
      <c r="G654" s="5">
        <v>6</v>
      </c>
      <c r="H654" s="4">
        <v>0</v>
      </c>
    </row>
    <row r="655" spans="1:8" x14ac:dyDescent="0.2">
      <c r="A655" s="2" t="s">
        <v>83</v>
      </c>
      <c r="B655" s="4">
        <v>61</v>
      </c>
      <c r="C655" s="5">
        <v>4.84</v>
      </c>
      <c r="D655" s="4">
        <v>50</v>
      </c>
      <c r="E655" s="5">
        <v>7.42</v>
      </c>
      <c r="F655" s="4">
        <v>9</v>
      </c>
      <c r="G655" s="5">
        <v>1.59</v>
      </c>
      <c r="H655" s="4">
        <v>0</v>
      </c>
    </row>
    <row r="656" spans="1:8" x14ac:dyDescent="0.2">
      <c r="A656" s="2" t="s">
        <v>84</v>
      </c>
      <c r="B656" s="4">
        <v>82</v>
      </c>
      <c r="C656" s="5">
        <v>6.5</v>
      </c>
      <c r="D656" s="4">
        <v>48</v>
      </c>
      <c r="E656" s="5">
        <v>7.12</v>
      </c>
      <c r="F656" s="4">
        <v>30</v>
      </c>
      <c r="G656" s="5">
        <v>5.29</v>
      </c>
      <c r="H656" s="4">
        <v>0</v>
      </c>
    </row>
    <row r="657" spans="1:8" x14ac:dyDescent="0.2">
      <c r="A657" s="2" t="s">
        <v>85</v>
      </c>
      <c r="B657" s="4">
        <v>47</v>
      </c>
      <c r="C657" s="5">
        <v>3.73</v>
      </c>
      <c r="D657" s="4">
        <v>13</v>
      </c>
      <c r="E657" s="5">
        <v>1.93</v>
      </c>
      <c r="F657" s="4">
        <v>31</v>
      </c>
      <c r="G657" s="5">
        <v>5.47</v>
      </c>
      <c r="H657" s="4">
        <v>1</v>
      </c>
    </row>
    <row r="658" spans="1:8" x14ac:dyDescent="0.2">
      <c r="A658" s="1" t="s">
        <v>41</v>
      </c>
      <c r="B658" s="4">
        <v>968</v>
      </c>
      <c r="C658" s="5">
        <v>100</v>
      </c>
      <c r="D658" s="4">
        <v>437</v>
      </c>
      <c r="E658" s="5">
        <v>100.00999999999999</v>
      </c>
      <c r="F658" s="4">
        <v>523</v>
      </c>
      <c r="G658" s="5">
        <v>99.99</v>
      </c>
      <c r="H658" s="4">
        <v>0</v>
      </c>
    </row>
    <row r="659" spans="1:8" x14ac:dyDescent="0.2">
      <c r="A659" s="2" t="s">
        <v>71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72</v>
      </c>
      <c r="B660" s="4">
        <v>109</v>
      </c>
      <c r="C660" s="5">
        <v>11.26</v>
      </c>
      <c r="D660" s="4">
        <v>14</v>
      </c>
      <c r="E660" s="5">
        <v>3.2</v>
      </c>
      <c r="F660" s="4">
        <v>95</v>
      </c>
      <c r="G660" s="5">
        <v>18.16</v>
      </c>
      <c r="H660" s="4">
        <v>0</v>
      </c>
    </row>
    <row r="661" spans="1:8" x14ac:dyDescent="0.2">
      <c r="A661" s="2" t="s">
        <v>73</v>
      </c>
      <c r="B661" s="4">
        <v>102</v>
      </c>
      <c r="C661" s="5">
        <v>10.54</v>
      </c>
      <c r="D661" s="4">
        <v>22</v>
      </c>
      <c r="E661" s="5">
        <v>5.03</v>
      </c>
      <c r="F661" s="4">
        <v>80</v>
      </c>
      <c r="G661" s="5">
        <v>15.3</v>
      </c>
      <c r="H661" s="4">
        <v>0</v>
      </c>
    </row>
    <row r="662" spans="1:8" x14ac:dyDescent="0.2">
      <c r="A662" s="2" t="s">
        <v>74</v>
      </c>
      <c r="B662" s="4">
        <v>2</v>
      </c>
      <c r="C662" s="5">
        <v>0.21</v>
      </c>
      <c r="D662" s="4">
        <v>0</v>
      </c>
      <c r="E662" s="5">
        <v>0</v>
      </c>
      <c r="F662" s="4">
        <v>2</v>
      </c>
      <c r="G662" s="5">
        <v>0.38</v>
      </c>
      <c r="H662" s="4">
        <v>0</v>
      </c>
    </row>
    <row r="663" spans="1:8" x14ac:dyDescent="0.2">
      <c r="A663" s="2" t="s">
        <v>75</v>
      </c>
      <c r="B663" s="4">
        <v>11</v>
      </c>
      <c r="C663" s="5">
        <v>1.1399999999999999</v>
      </c>
      <c r="D663" s="4">
        <v>0</v>
      </c>
      <c r="E663" s="5">
        <v>0</v>
      </c>
      <c r="F663" s="4">
        <v>11</v>
      </c>
      <c r="G663" s="5">
        <v>2.1</v>
      </c>
      <c r="H663" s="4">
        <v>0</v>
      </c>
    </row>
    <row r="664" spans="1:8" x14ac:dyDescent="0.2">
      <c r="A664" s="2" t="s">
        <v>76</v>
      </c>
      <c r="B664" s="4">
        <v>9</v>
      </c>
      <c r="C664" s="5">
        <v>0.93</v>
      </c>
      <c r="D664" s="4">
        <v>0</v>
      </c>
      <c r="E664" s="5">
        <v>0</v>
      </c>
      <c r="F664" s="4">
        <v>8</v>
      </c>
      <c r="G664" s="5">
        <v>1.53</v>
      </c>
      <c r="H664" s="4">
        <v>0</v>
      </c>
    </row>
    <row r="665" spans="1:8" x14ac:dyDescent="0.2">
      <c r="A665" s="2" t="s">
        <v>77</v>
      </c>
      <c r="B665" s="4">
        <v>233</v>
      </c>
      <c r="C665" s="5">
        <v>24.07</v>
      </c>
      <c r="D665" s="4">
        <v>115</v>
      </c>
      <c r="E665" s="5">
        <v>26.32</v>
      </c>
      <c r="F665" s="4">
        <v>118</v>
      </c>
      <c r="G665" s="5">
        <v>22.56</v>
      </c>
      <c r="H665" s="4">
        <v>0</v>
      </c>
    </row>
    <row r="666" spans="1:8" x14ac:dyDescent="0.2">
      <c r="A666" s="2" t="s">
        <v>78</v>
      </c>
      <c r="B666" s="4">
        <v>6</v>
      </c>
      <c r="C666" s="5">
        <v>0.62</v>
      </c>
      <c r="D666" s="4">
        <v>1</v>
      </c>
      <c r="E666" s="5">
        <v>0.23</v>
      </c>
      <c r="F666" s="4">
        <v>5</v>
      </c>
      <c r="G666" s="5">
        <v>0.96</v>
      </c>
      <c r="H666" s="4">
        <v>0</v>
      </c>
    </row>
    <row r="667" spans="1:8" x14ac:dyDescent="0.2">
      <c r="A667" s="2" t="s">
        <v>79</v>
      </c>
      <c r="B667" s="4">
        <v>93</v>
      </c>
      <c r="C667" s="5">
        <v>9.61</v>
      </c>
      <c r="D667" s="4">
        <v>17</v>
      </c>
      <c r="E667" s="5">
        <v>3.89</v>
      </c>
      <c r="F667" s="4">
        <v>76</v>
      </c>
      <c r="G667" s="5">
        <v>14.53</v>
      </c>
      <c r="H667" s="4">
        <v>0</v>
      </c>
    </row>
    <row r="668" spans="1:8" x14ac:dyDescent="0.2">
      <c r="A668" s="2" t="s">
        <v>80</v>
      </c>
      <c r="B668" s="4">
        <v>49</v>
      </c>
      <c r="C668" s="5">
        <v>5.0599999999999996</v>
      </c>
      <c r="D668" s="4">
        <v>21</v>
      </c>
      <c r="E668" s="5">
        <v>4.8099999999999996</v>
      </c>
      <c r="F668" s="4">
        <v>28</v>
      </c>
      <c r="G668" s="5">
        <v>5.35</v>
      </c>
      <c r="H668" s="4">
        <v>0</v>
      </c>
    </row>
    <row r="669" spans="1:8" x14ac:dyDescent="0.2">
      <c r="A669" s="2" t="s">
        <v>81</v>
      </c>
      <c r="B669" s="4">
        <v>101</v>
      </c>
      <c r="C669" s="5">
        <v>10.43</v>
      </c>
      <c r="D669" s="4">
        <v>77</v>
      </c>
      <c r="E669" s="5">
        <v>17.62</v>
      </c>
      <c r="F669" s="4">
        <v>24</v>
      </c>
      <c r="G669" s="5">
        <v>4.59</v>
      </c>
      <c r="H669" s="4">
        <v>0</v>
      </c>
    </row>
    <row r="670" spans="1:8" x14ac:dyDescent="0.2">
      <c r="A670" s="2" t="s">
        <v>82</v>
      </c>
      <c r="B670" s="4">
        <v>125</v>
      </c>
      <c r="C670" s="5">
        <v>12.91</v>
      </c>
      <c r="D670" s="4">
        <v>100</v>
      </c>
      <c r="E670" s="5">
        <v>22.88</v>
      </c>
      <c r="F670" s="4">
        <v>25</v>
      </c>
      <c r="G670" s="5">
        <v>4.78</v>
      </c>
      <c r="H670" s="4">
        <v>0</v>
      </c>
    </row>
    <row r="671" spans="1:8" x14ac:dyDescent="0.2">
      <c r="A671" s="2" t="s">
        <v>83</v>
      </c>
      <c r="B671" s="4">
        <v>46</v>
      </c>
      <c r="C671" s="5">
        <v>4.75</v>
      </c>
      <c r="D671" s="4">
        <v>29</v>
      </c>
      <c r="E671" s="5">
        <v>6.64</v>
      </c>
      <c r="F671" s="4">
        <v>15</v>
      </c>
      <c r="G671" s="5">
        <v>2.87</v>
      </c>
      <c r="H671" s="4">
        <v>0</v>
      </c>
    </row>
    <row r="672" spans="1:8" x14ac:dyDescent="0.2">
      <c r="A672" s="2" t="s">
        <v>84</v>
      </c>
      <c r="B672" s="4">
        <v>43</v>
      </c>
      <c r="C672" s="5">
        <v>4.4400000000000004</v>
      </c>
      <c r="D672" s="4">
        <v>29</v>
      </c>
      <c r="E672" s="5">
        <v>6.64</v>
      </c>
      <c r="F672" s="4">
        <v>11</v>
      </c>
      <c r="G672" s="5">
        <v>2.1</v>
      </c>
      <c r="H672" s="4">
        <v>0</v>
      </c>
    </row>
    <row r="673" spans="1:8" x14ac:dyDescent="0.2">
      <c r="A673" s="2" t="s">
        <v>85</v>
      </c>
      <c r="B673" s="4">
        <v>39</v>
      </c>
      <c r="C673" s="5">
        <v>4.03</v>
      </c>
      <c r="D673" s="4">
        <v>12</v>
      </c>
      <c r="E673" s="5">
        <v>2.75</v>
      </c>
      <c r="F673" s="4">
        <v>25</v>
      </c>
      <c r="G673" s="5">
        <v>4.78</v>
      </c>
      <c r="H673" s="4">
        <v>0</v>
      </c>
    </row>
    <row r="674" spans="1:8" x14ac:dyDescent="0.2">
      <c r="A674" s="1" t="s">
        <v>42</v>
      </c>
      <c r="B674" s="4">
        <v>1469</v>
      </c>
      <c r="C674" s="5">
        <v>100.00000000000001</v>
      </c>
      <c r="D674" s="4">
        <v>630</v>
      </c>
      <c r="E674" s="5">
        <v>100</v>
      </c>
      <c r="F674" s="4">
        <v>825</v>
      </c>
      <c r="G674" s="5">
        <v>99.990000000000009</v>
      </c>
      <c r="H674" s="4">
        <v>2</v>
      </c>
    </row>
    <row r="675" spans="1:8" x14ac:dyDescent="0.2">
      <c r="A675" s="2" t="s">
        <v>71</v>
      </c>
      <c r="B675" s="4">
        <v>1</v>
      </c>
      <c r="C675" s="5">
        <v>7.0000000000000007E-2</v>
      </c>
      <c r="D675" s="4">
        <v>0</v>
      </c>
      <c r="E675" s="5">
        <v>0</v>
      </c>
      <c r="F675" s="4">
        <v>1</v>
      </c>
      <c r="G675" s="5">
        <v>0.12</v>
      </c>
      <c r="H675" s="4">
        <v>0</v>
      </c>
    </row>
    <row r="676" spans="1:8" x14ac:dyDescent="0.2">
      <c r="A676" s="2" t="s">
        <v>72</v>
      </c>
      <c r="B676" s="4">
        <v>255</v>
      </c>
      <c r="C676" s="5">
        <v>17.36</v>
      </c>
      <c r="D676" s="4">
        <v>38</v>
      </c>
      <c r="E676" s="5">
        <v>6.03</v>
      </c>
      <c r="F676" s="4">
        <v>217</v>
      </c>
      <c r="G676" s="5">
        <v>26.3</v>
      </c>
      <c r="H676" s="4">
        <v>0</v>
      </c>
    </row>
    <row r="677" spans="1:8" x14ac:dyDescent="0.2">
      <c r="A677" s="2" t="s">
        <v>73</v>
      </c>
      <c r="B677" s="4">
        <v>120</v>
      </c>
      <c r="C677" s="5">
        <v>8.17</v>
      </c>
      <c r="D677" s="4">
        <v>36</v>
      </c>
      <c r="E677" s="5">
        <v>5.71</v>
      </c>
      <c r="F677" s="4">
        <v>84</v>
      </c>
      <c r="G677" s="5">
        <v>10.18</v>
      </c>
      <c r="H677" s="4">
        <v>0</v>
      </c>
    </row>
    <row r="678" spans="1:8" x14ac:dyDescent="0.2">
      <c r="A678" s="2" t="s">
        <v>74</v>
      </c>
      <c r="B678" s="4">
        <v>5</v>
      </c>
      <c r="C678" s="5">
        <v>0.34</v>
      </c>
      <c r="D678" s="4">
        <v>0</v>
      </c>
      <c r="E678" s="5">
        <v>0</v>
      </c>
      <c r="F678" s="4">
        <v>5</v>
      </c>
      <c r="G678" s="5">
        <v>0.61</v>
      </c>
      <c r="H678" s="4">
        <v>0</v>
      </c>
    </row>
    <row r="679" spans="1:8" x14ac:dyDescent="0.2">
      <c r="A679" s="2" t="s">
        <v>75</v>
      </c>
      <c r="B679" s="4">
        <v>11</v>
      </c>
      <c r="C679" s="5">
        <v>0.75</v>
      </c>
      <c r="D679" s="4">
        <v>0</v>
      </c>
      <c r="E679" s="5">
        <v>0</v>
      </c>
      <c r="F679" s="4">
        <v>11</v>
      </c>
      <c r="G679" s="5">
        <v>1.33</v>
      </c>
      <c r="H679" s="4">
        <v>0</v>
      </c>
    </row>
    <row r="680" spans="1:8" x14ac:dyDescent="0.2">
      <c r="A680" s="2" t="s">
        <v>76</v>
      </c>
      <c r="B680" s="4">
        <v>18</v>
      </c>
      <c r="C680" s="5">
        <v>1.23</v>
      </c>
      <c r="D680" s="4">
        <v>2</v>
      </c>
      <c r="E680" s="5">
        <v>0.32</v>
      </c>
      <c r="F680" s="4">
        <v>16</v>
      </c>
      <c r="G680" s="5">
        <v>1.94</v>
      </c>
      <c r="H680" s="4">
        <v>0</v>
      </c>
    </row>
    <row r="681" spans="1:8" x14ac:dyDescent="0.2">
      <c r="A681" s="2" t="s">
        <v>77</v>
      </c>
      <c r="B681" s="4">
        <v>244</v>
      </c>
      <c r="C681" s="5">
        <v>16.61</v>
      </c>
      <c r="D681" s="4">
        <v>83</v>
      </c>
      <c r="E681" s="5">
        <v>13.17</v>
      </c>
      <c r="F681" s="4">
        <v>161</v>
      </c>
      <c r="G681" s="5">
        <v>19.52</v>
      </c>
      <c r="H681" s="4">
        <v>0</v>
      </c>
    </row>
    <row r="682" spans="1:8" x14ac:dyDescent="0.2">
      <c r="A682" s="2" t="s">
        <v>78</v>
      </c>
      <c r="B682" s="4">
        <v>15</v>
      </c>
      <c r="C682" s="5">
        <v>1.02</v>
      </c>
      <c r="D682" s="4">
        <v>5</v>
      </c>
      <c r="E682" s="5">
        <v>0.79</v>
      </c>
      <c r="F682" s="4">
        <v>10</v>
      </c>
      <c r="G682" s="5">
        <v>1.21</v>
      </c>
      <c r="H682" s="4">
        <v>0</v>
      </c>
    </row>
    <row r="683" spans="1:8" x14ac:dyDescent="0.2">
      <c r="A683" s="2" t="s">
        <v>79</v>
      </c>
      <c r="B683" s="4">
        <v>166</v>
      </c>
      <c r="C683" s="5">
        <v>11.3</v>
      </c>
      <c r="D683" s="4">
        <v>58</v>
      </c>
      <c r="E683" s="5">
        <v>9.2100000000000009</v>
      </c>
      <c r="F683" s="4">
        <v>108</v>
      </c>
      <c r="G683" s="5">
        <v>13.09</v>
      </c>
      <c r="H683" s="4">
        <v>0</v>
      </c>
    </row>
    <row r="684" spans="1:8" x14ac:dyDescent="0.2">
      <c r="A684" s="2" t="s">
        <v>80</v>
      </c>
      <c r="B684" s="4">
        <v>98</v>
      </c>
      <c r="C684" s="5">
        <v>6.67</v>
      </c>
      <c r="D684" s="4">
        <v>48</v>
      </c>
      <c r="E684" s="5">
        <v>7.62</v>
      </c>
      <c r="F684" s="4">
        <v>48</v>
      </c>
      <c r="G684" s="5">
        <v>5.82</v>
      </c>
      <c r="H684" s="4">
        <v>2</v>
      </c>
    </row>
    <row r="685" spans="1:8" x14ac:dyDescent="0.2">
      <c r="A685" s="2" t="s">
        <v>81</v>
      </c>
      <c r="B685" s="4">
        <v>128</v>
      </c>
      <c r="C685" s="5">
        <v>8.7100000000000009</v>
      </c>
      <c r="D685" s="4">
        <v>102</v>
      </c>
      <c r="E685" s="5">
        <v>16.190000000000001</v>
      </c>
      <c r="F685" s="4">
        <v>25</v>
      </c>
      <c r="G685" s="5">
        <v>3.03</v>
      </c>
      <c r="H685" s="4">
        <v>0</v>
      </c>
    </row>
    <row r="686" spans="1:8" x14ac:dyDescent="0.2">
      <c r="A686" s="2" t="s">
        <v>82</v>
      </c>
      <c r="B686" s="4">
        <v>180</v>
      </c>
      <c r="C686" s="5">
        <v>12.25</v>
      </c>
      <c r="D686" s="4">
        <v>130</v>
      </c>
      <c r="E686" s="5">
        <v>20.63</v>
      </c>
      <c r="F686" s="4">
        <v>50</v>
      </c>
      <c r="G686" s="5">
        <v>6.06</v>
      </c>
      <c r="H686" s="4">
        <v>0</v>
      </c>
    </row>
    <row r="687" spans="1:8" x14ac:dyDescent="0.2">
      <c r="A687" s="2" t="s">
        <v>83</v>
      </c>
      <c r="B687" s="4">
        <v>88</v>
      </c>
      <c r="C687" s="5">
        <v>5.99</v>
      </c>
      <c r="D687" s="4">
        <v>59</v>
      </c>
      <c r="E687" s="5">
        <v>9.3699999999999992</v>
      </c>
      <c r="F687" s="4">
        <v>20</v>
      </c>
      <c r="G687" s="5">
        <v>2.42</v>
      </c>
      <c r="H687" s="4">
        <v>0</v>
      </c>
    </row>
    <row r="688" spans="1:8" x14ac:dyDescent="0.2">
      <c r="A688" s="2" t="s">
        <v>84</v>
      </c>
      <c r="B688" s="4">
        <v>90</v>
      </c>
      <c r="C688" s="5">
        <v>6.13</v>
      </c>
      <c r="D688" s="4">
        <v>58</v>
      </c>
      <c r="E688" s="5">
        <v>9.2100000000000009</v>
      </c>
      <c r="F688" s="4">
        <v>32</v>
      </c>
      <c r="G688" s="5">
        <v>3.88</v>
      </c>
      <c r="H688" s="4">
        <v>0</v>
      </c>
    </row>
    <row r="689" spans="1:8" x14ac:dyDescent="0.2">
      <c r="A689" s="2" t="s">
        <v>85</v>
      </c>
      <c r="B689" s="4">
        <v>50</v>
      </c>
      <c r="C689" s="5">
        <v>3.4</v>
      </c>
      <c r="D689" s="4">
        <v>11</v>
      </c>
      <c r="E689" s="5">
        <v>1.75</v>
      </c>
      <c r="F689" s="4">
        <v>37</v>
      </c>
      <c r="G689" s="5">
        <v>4.4800000000000004</v>
      </c>
      <c r="H689" s="4">
        <v>0</v>
      </c>
    </row>
    <row r="690" spans="1:8" x14ac:dyDescent="0.2">
      <c r="A690" s="1" t="s">
        <v>43</v>
      </c>
      <c r="B690" s="4">
        <v>858</v>
      </c>
      <c r="C690" s="5">
        <v>100</v>
      </c>
      <c r="D690" s="4">
        <v>473</v>
      </c>
      <c r="E690" s="5">
        <v>99.999999999999986</v>
      </c>
      <c r="F690" s="4">
        <v>381</v>
      </c>
      <c r="G690" s="5">
        <v>100.00000000000001</v>
      </c>
      <c r="H690" s="4">
        <v>2</v>
      </c>
    </row>
    <row r="691" spans="1:8" x14ac:dyDescent="0.2">
      <c r="A691" s="2" t="s">
        <v>71</v>
      </c>
      <c r="B691" s="4">
        <v>1</v>
      </c>
      <c r="C691" s="5">
        <v>0.12</v>
      </c>
      <c r="D691" s="4">
        <v>0</v>
      </c>
      <c r="E691" s="5">
        <v>0</v>
      </c>
      <c r="F691" s="4">
        <v>1</v>
      </c>
      <c r="G691" s="5">
        <v>0.26</v>
      </c>
      <c r="H691" s="4">
        <v>0</v>
      </c>
    </row>
    <row r="692" spans="1:8" x14ac:dyDescent="0.2">
      <c r="A692" s="2" t="s">
        <v>72</v>
      </c>
      <c r="B692" s="4">
        <v>118</v>
      </c>
      <c r="C692" s="5">
        <v>13.75</v>
      </c>
      <c r="D692" s="4">
        <v>47</v>
      </c>
      <c r="E692" s="5">
        <v>9.94</v>
      </c>
      <c r="F692" s="4">
        <v>71</v>
      </c>
      <c r="G692" s="5">
        <v>18.64</v>
      </c>
      <c r="H692" s="4">
        <v>0</v>
      </c>
    </row>
    <row r="693" spans="1:8" x14ac:dyDescent="0.2">
      <c r="A693" s="2" t="s">
        <v>73</v>
      </c>
      <c r="B693" s="4">
        <v>158</v>
      </c>
      <c r="C693" s="5">
        <v>18.41</v>
      </c>
      <c r="D693" s="4">
        <v>65</v>
      </c>
      <c r="E693" s="5">
        <v>13.74</v>
      </c>
      <c r="F693" s="4">
        <v>93</v>
      </c>
      <c r="G693" s="5">
        <v>24.41</v>
      </c>
      <c r="H693" s="4">
        <v>0</v>
      </c>
    </row>
    <row r="694" spans="1:8" x14ac:dyDescent="0.2">
      <c r="A694" s="2" t="s">
        <v>74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2">
      <c r="A695" s="2" t="s">
        <v>75</v>
      </c>
      <c r="B695" s="4">
        <v>2</v>
      </c>
      <c r="C695" s="5">
        <v>0.23</v>
      </c>
      <c r="D695" s="4">
        <v>0</v>
      </c>
      <c r="E695" s="5">
        <v>0</v>
      </c>
      <c r="F695" s="4">
        <v>2</v>
      </c>
      <c r="G695" s="5">
        <v>0.52</v>
      </c>
      <c r="H695" s="4">
        <v>0</v>
      </c>
    </row>
    <row r="696" spans="1:8" x14ac:dyDescent="0.2">
      <c r="A696" s="2" t="s">
        <v>76</v>
      </c>
      <c r="B696" s="4">
        <v>7</v>
      </c>
      <c r="C696" s="5">
        <v>0.82</v>
      </c>
      <c r="D696" s="4">
        <v>1</v>
      </c>
      <c r="E696" s="5">
        <v>0.21</v>
      </c>
      <c r="F696" s="4">
        <v>6</v>
      </c>
      <c r="G696" s="5">
        <v>1.57</v>
      </c>
      <c r="H696" s="4">
        <v>0</v>
      </c>
    </row>
    <row r="697" spans="1:8" x14ac:dyDescent="0.2">
      <c r="A697" s="2" t="s">
        <v>77</v>
      </c>
      <c r="B697" s="4">
        <v>182</v>
      </c>
      <c r="C697" s="5">
        <v>21.21</v>
      </c>
      <c r="D697" s="4">
        <v>96</v>
      </c>
      <c r="E697" s="5">
        <v>20.3</v>
      </c>
      <c r="F697" s="4">
        <v>85</v>
      </c>
      <c r="G697" s="5">
        <v>22.31</v>
      </c>
      <c r="H697" s="4">
        <v>1</v>
      </c>
    </row>
    <row r="698" spans="1:8" x14ac:dyDescent="0.2">
      <c r="A698" s="2" t="s">
        <v>78</v>
      </c>
      <c r="B698" s="4">
        <v>6</v>
      </c>
      <c r="C698" s="5">
        <v>0.7</v>
      </c>
      <c r="D698" s="4">
        <v>1</v>
      </c>
      <c r="E698" s="5">
        <v>0.21</v>
      </c>
      <c r="F698" s="4">
        <v>5</v>
      </c>
      <c r="G698" s="5">
        <v>1.31</v>
      </c>
      <c r="H698" s="4">
        <v>0</v>
      </c>
    </row>
    <row r="699" spans="1:8" x14ac:dyDescent="0.2">
      <c r="A699" s="2" t="s">
        <v>79</v>
      </c>
      <c r="B699" s="4">
        <v>68</v>
      </c>
      <c r="C699" s="5">
        <v>7.93</v>
      </c>
      <c r="D699" s="4">
        <v>25</v>
      </c>
      <c r="E699" s="5">
        <v>5.29</v>
      </c>
      <c r="F699" s="4">
        <v>43</v>
      </c>
      <c r="G699" s="5">
        <v>11.29</v>
      </c>
      <c r="H699" s="4">
        <v>0</v>
      </c>
    </row>
    <row r="700" spans="1:8" x14ac:dyDescent="0.2">
      <c r="A700" s="2" t="s">
        <v>80</v>
      </c>
      <c r="B700" s="4">
        <v>37</v>
      </c>
      <c r="C700" s="5">
        <v>4.3099999999999996</v>
      </c>
      <c r="D700" s="4">
        <v>26</v>
      </c>
      <c r="E700" s="5">
        <v>5.5</v>
      </c>
      <c r="F700" s="4">
        <v>11</v>
      </c>
      <c r="G700" s="5">
        <v>2.89</v>
      </c>
      <c r="H700" s="4">
        <v>0</v>
      </c>
    </row>
    <row r="701" spans="1:8" x14ac:dyDescent="0.2">
      <c r="A701" s="2" t="s">
        <v>81</v>
      </c>
      <c r="B701" s="4">
        <v>68</v>
      </c>
      <c r="C701" s="5">
        <v>7.93</v>
      </c>
      <c r="D701" s="4">
        <v>55</v>
      </c>
      <c r="E701" s="5">
        <v>11.63</v>
      </c>
      <c r="F701" s="4">
        <v>13</v>
      </c>
      <c r="G701" s="5">
        <v>3.41</v>
      </c>
      <c r="H701" s="4">
        <v>0</v>
      </c>
    </row>
    <row r="702" spans="1:8" x14ac:dyDescent="0.2">
      <c r="A702" s="2" t="s">
        <v>82</v>
      </c>
      <c r="B702" s="4">
        <v>104</v>
      </c>
      <c r="C702" s="5">
        <v>12.12</v>
      </c>
      <c r="D702" s="4">
        <v>88</v>
      </c>
      <c r="E702" s="5">
        <v>18.600000000000001</v>
      </c>
      <c r="F702" s="4">
        <v>16</v>
      </c>
      <c r="G702" s="5">
        <v>4.2</v>
      </c>
      <c r="H702" s="4">
        <v>0</v>
      </c>
    </row>
    <row r="703" spans="1:8" x14ac:dyDescent="0.2">
      <c r="A703" s="2" t="s">
        <v>83</v>
      </c>
      <c r="B703" s="4">
        <v>49</v>
      </c>
      <c r="C703" s="5">
        <v>5.71</v>
      </c>
      <c r="D703" s="4">
        <v>37</v>
      </c>
      <c r="E703" s="5">
        <v>7.82</v>
      </c>
      <c r="F703" s="4">
        <v>11</v>
      </c>
      <c r="G703" s="5">
        <v>2.89</v>
      </c>
      <c r="H703" s="4">
        <v>1</v>
      </c>
    </row>
    <row r="704" spans="1:8" x14ac:dyDescent="0.2">
      <c r="A704" s="2" t="s">
        <v>84</v>
      </c>
      <c r="B704" s="4">
        <v>36</v>
      </c>
      <c r="C704" s="5">
        <v>4.2</v>
      </c>
      <c r="D704" s="4">
        <v>22</v>
      </c>
      <c r="E704" s="5">
        <v>4.6500000000000004</v>
      </c>
      <c r="F704" s="4">
        <v>12</v>
      </c>
      <c r="G704" s="5">
        <v>3.15</v>
      </c>
      <c r="H704" s="4">
        <v>0</v>
      </c>
    </row>
    <row r="705" spans="1:8" x14ac:dyDescent="0.2">
      <c r="A705" s="2" t="s">
        <v>85</v>
      </c>
      <c r="B705" s="4">
        <v>22</v>
      </c>
      <c r="C705" s="5">
        <v>2.56</v>
      </c>
      <c r="D705" s="4">
        <v>10</v>
      </c>
      <c r="E705" s="5">
        <v>2.11</v>
      </c>
      <c r="F705" s="4">
        <v>12</v>
      </c>
      <c r="G705" s="5">
        <v>3.15</v>
      </c>
      <c r="H705" s="4">
        <v>0</v>
      </c>
    </row>
    <row r="706" spans="1:8" x14ac:dyDescent="0.2">
      <c r="A706" s="1" t="s">
        <v>44</v>
      </c>
      <c r="B706" s="4">
        <v>864</v>
      </c>
      <c r="C706" s="5">
        <v>100</v>
      </c>
      <c r="D706" s="4">
        <v>448</v>
      </c>
      <c r="E706" s="5">
        <v>100.00000000000003</v>
      </c>
      <c r="F706" s="4">
        <v>414</v>
      </c>
      <c r="G706" s="5">
        <v>99.99</v>
      </c>
      <c r="H706" s="4">
        <v>0</v>
      </c>
    </row>
    <row r="707" spans="1:8" x14ac:dyDescent="0.2">
      <c r="A707" s="2" t="s">
        <v>71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72</v>
      </c>
      <c r="B708" s="4">
        <v>85</v>
      </c>
      <c r="C708" s="5">
        <v>9.84</v>
      </c>
      <c r="D708" s="4">
        <v>15</v>
      </c>
      <c r="E708" s="5">
        <v>3.35</v>
      </c>
      <c r="F708" s="4">
        <v>70</v>
      </c>
      <c r="G708" s="5">
        <v>16.91</v>
      </c>
      <c r="H708" s="4">
        <v>0</v>
      </c>
    </row>
    <row r="709" spans="1:8" x14ac:dyDescent="0.2">
      <c r="A709" s="2" t="s">
        <v>73</v>
      </c>
      <c r="B709" s="4">
        <v>87</v>
      </c>
      <c r="C709" s="5">
        <v>10.07</v>
      </c>
      <c r="D709" s="4">
        <v>24</v>
      </c>
      <c r="E709" s="5">
        <v>5.36</v>
      </c>
      <c r="F709" s="4">
        <v>63</v>
      </c>
      <c r="G709" s="5">
        <v>15.22</v>
      </c>
      <c r="H709" s="4">
        <v>0</v>
      </c>
    </row>
    <row r="710" spans="1:8" x14ac:dyDescent="0.2">
      <c r="A710" s="2" t="s">
        <v>74</v>
      </c>
      <c r="B710" s="4">
        <v>3</v>
      </c>
      <c r="C710" s="5">
        <v>0.35</v>
      </c>
      <c r="D710" s="4">
        <v>0</v>
      </c>
      <c r="E710" s="5">
        <v>0</v>
      </c>
      <c r="F710" s="4">
        <v>3</v>
      </c>
      <c r="G710" s="5">
        <v>0.72</v>
      </c>
      <c r="H710" s="4">
        <v>0</v>
      </c>
    </row>
    <row r="711" spans="1:8" x14ac:dyDescent="0.2">
      <c r="A711" s="2" t="s">
        <v>75</v>
      </c>
      <c r="B711" s="4">
        <v>6</v>
      </c>
      <c r="C711" s="5">
        <v>0.69</v>
      </c>
      <c r="D711" s="4">
        <v>0</v>
      </c>
      <c r="E711" s="5">
        <v>0</v>
      </c>
      <c r="F711" s="4">
        <v>6</v>
      </c>
      <c r="G711" s="5">
        <v>1.45</v>
      </c>
      <c r="H711" s="4">
        <v>0</v>
      </c>
    </row>
    <row r="712" spans="1:8" x14ac:dyDescent="0.2">
      <c r="A712" s="2" t="s">
        <v>76</v>
      </c>
      <c r="B712" s="4">
        <v>8</v>
      </c>
      <c r="C712" s="5">
        <v>0.93</v>
      </c>
      <c r="D712" s="4">
        <v>1</v>
      </c>
      <c r="E712" s="5">
        <v>0.22</v>
      </c>
      <c r="F712" s="4">
        <v>7</v>
      </c>
      <c r="G712" s="5">
        <v>1.69</v>
      </c>
      <c r="H712" s="4">
        <v>0</v>
      </c>
    </row>
    <row r="713" spans="1:8" x14ac:dyDescent="0.2">
      <c r="A713" s="2" t="s">
        <v>77</v>
      </c>
      <c r="B713" s="4">
        <v>164</v>
      </c>
      <c r="C713" s="5">
        <v>18.98</v>
      </c>
      <c r="D713" s="4">
        <v>69</v>
      </c>
      <c r="E713" s="5">
        <v>15.4</v>
      </c>
      <c r="F713" s="4">
        <v>95</v>
      </c>
      <c r="G713" s="5">
        <v>22.95</v>
      </c>
      <c r="H713" s="4">
        <v>0</v>
      </c>
    </row>
    <row r="714" spans="1:8" x14ac:dyDescent="0.2">
      <c r="A714" s="2" t="s">
        <v>78</v>
      </c>
      <c r="B714" s="4">
        <v>4</v>
      </c>
      <c r="C714" s="5">
        <v>0.46</v>
      </c>
      <c r="D714" s="4">
        <v>1</v>
      </c>
      <c r="E714" s="5">
        <v>0.22</v>
      </c>
      <c r="F714" s="4">
        <v>3</v>
      </c>
      <c r="G714" s="5">
        <v>0.72</v>
      </c>
      <c r="H714" s="4">
        <v>0</v>
      </c>
    </row>
    <row r="715" spans="1:8" x14ac:dyDescent="0.2">
      <c r="A715" s="2" t="s">
        <v>79</v>
      </c>
      <c r="B715" s="4">
        <v>147</v>
      </c>
      <c r="C715" s="5">
        <v>17.010000000000002</v>
      </c>
      <c r="D715" s="4">
        <v>74</v>
      </c>
      <c r="E715" s="5">
        <v>16.52</v>
      </c>
      <c r="F715" s="4">
        <v>73</v>
      </c>
      <c r="G715" s="5">
        <v>17.63</v>
      </c>
      <c r="H715" s="4">
        <v>0</v>
      </c>
    </row>
    <row r="716" spans="1:8" x14ac:dyDescent="0.2">
      <c r="A716" s="2" t="s">
        <v>80</v>
      </c>
      <c r="B716" s="4">
        <v>30</v>
      </c>
      <c r="C716" s="5">
        <v>3.47</v>
      </c>
      <c r="D716" s="4">
        <v>18</v>
      </c>
      <c r="E716" s="5">
        <v>4.0199999999999996</v>
      </c>
      <c r="F716" s="4">
        <v>12</v>
      </c>
      <c r="G716" s="5">
        <v>2.9</v>
      </c>
      <c r="H716" s="4">
        <v>0</v>
      </c>
    </row>
    <row r="717" spans="1:8" x14ac:dyDescent="0.2">
      <c r="A717" s="2" t="s">
        <v>81</v>
      </c>
      <c r="B717" s="4">
        <v>109</v>
      </c>
      <c r="C717" s="5">
        <v>12.62</v>
      </c>
      <c r="D717" s="4">
        <v>96</v>
      </c>
      <c r="E717" s="5">
        <v>21.43</v>
      </c>
      <c r="F717" s="4">
        <v>12</v>
      </c>
      <c r="G717" s="5">
        <v>2.9</v>
      </c>
      <c r="H717" s="4">
        <v>0</v>
      </c>
    </row>
    <row r="718" spans="1:8" x14ac:dyDescent="0.2">
      <c r="A718" s="2" t="s">
        <v>82</v>
      </c>
      <c r="B718" s="4">
        <v>94</v>
      </c>
      <c r="C718" s="5">
        <v>10.88</v>
      </c>
      <c r="D718" s="4">
        <v>68</v>
      </c>
      <c r="E718" s="5">
        <v>15.18</v>
      </c>
      <c r="F718" s="4">
        <v>26</v>
      </c>
      <c r="G718" s="5">
        <v>6.28</v>
      </c>
      <c r="H718" s="4">
        <v>0</v>
      </c>
    </row>
    <row r="719" spans="1:8" x14ac:dyDescent="0.2">
      <c r="A719" s="2" t="s">
        <v>83</v>
      </c>
      <c r="B719" s="4">
        <v>64</v>
      </c>
      <c r="C719" s="5">
        <v>7.41</v>
      </c>
      <c r="D719" s="4">
        <v>48</v>
      </c>
      <c r="E719" s="5">
        <v>10.71</v>
      </c>
      <c r="F719" s="4">
        <v>16</v>
      </c>
      <c r="G719" s="5">
        <v>3.86</v>
      </c>
      <c r="H719" s="4">
        <v>0</v>
      </c>
    </row>
    <row r="720" spans="1:8" x14ac:dyDescent="0.2">
      <c r="A720" s="2" t="s">
        <v>84</v>
      </c>
      <c r="B720" s="4">
        <v>44</v>
      </c>
      <c r="C720" s="5">
        <v>5.09</v>
      </c>
      <c r="D720" s="4">
        <v>29</v>
      </c>
      <c r="E720" s="5">
        <v>6.47</v>
      </c>
      <c r="F720" s="4">
        <v>14</v>
      </c>
      <c r="G720" s="5">
        <v>3.38</v>
      </c>
      <c r="H720" s="4">
        <v>0</v>
      </c>
    </row>
    <row r="721" spans="1:8" x14ac:dyDescent="0.2">
      <c r="A721" s="2" t="s">
        <v>85</v>
      </c>
      <c r="B721" s="4">
        <v>19</v>
      </c>
      <c r="C721" s="5">
        <v>2.2000000000000002</v>
      </c>
      <c r="D721" s="4">
        <v>5</v>
      </c>
      <c r="E721" s="5">
        <v>1.1200000000000001</v>
      </c>
      <c r="F721" s="4">
        <v>14</v>
      </c>
      <c r="G721" s="5">
        <v>3.38</v>
      </c>
      <c r="H721" s="4">
        <v>0</v>
      </c>
    </row>
    <row r="722" spans="1:8" x14ac:dyDescent="0.2">
      <c r="A722" s="1" t="s">
        <v>45</v>
      </c>
      <c r="B722" s="4">
        <v>1272</v>
      </c>
      <c r="C722" s="5">
        <v>100.00999999999999</v>
      </c>
      <c r="D722" s="4">
        <v>570</v>
      </c>
      <c r="E722" s="5">
        <v>100</v>
      </c>
      <c r="F722" s="4">
        <v>697</v>
      </c>
      <c r="G722" s="5">
        <v>99.98</v>
      </c>
      <c r="H722" s="4">
        <v>1</v>
      </c>
    </row>
    <row r="723" spans="1:8" x14ac:dyDescent="0.2">
      <c r="A723" s="2" t="s">
        <v>71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72</v>
      </c>
      <c r="B724" s="4">
        <v>205</v>
      </c>
      <c r="C724" s="5">
        <v>16.12</v>
      </c>
      <c r="D724" s="4">
        <v>51</v>
      </c>
      <c r="E724" s="5">
        <v>8.9499999999999993</v>
      </c>
      <c r="F724" s="4">
        <v>153</v>
      </c>
      <c r="G724" s="5">
        <v>21.95</v>
      </c>
      <c r="H724" s="4">
        <v>1</v>
      </c>
    </row>
    <row r="725" spans="1:8" x14ac:dyDescent="0.2">
      <c r="A725" s="2" t="s">
        <v>73</v>
      </c>
      <c r="B725" s="4">
        <v>202</v>
      </c>
      <c r="C725" s="5">
        <v>15.88</v>
      </c>
      <c r="D725" s="4">
        <v>51</v>
      </c>
      <c r="E725" s="5">
        <v>8.9499999999999993</v>
      </c>
      <c r="F725" s="4">
        <v>151</v>
      </c>
      <c r="G725" s="5">
        <v>21.66</v>
      </c>
      <c r="H725" s="4">
        <v>0</v>
      </c>
    </row>
    <row r="726" spans="1:8" x14ac:dyDescent="0.2">
      <c r="A726" s="2" t="s">
        <v>74</v>
      </c>
      <c r="B726" s="4">
        <v>4</v>
      </c>
      <c r="C726" s="5">
        <v>0.31</v>
      </c>
      <c r="D726" s="4">
        <v>0</v>
      </c>
      <c r="E726" s="5">
        <v>0</v>
      </c>
      <c r="F726" s="4">
        <v>4</v>
      </c>
      <c r="G726" s="5">
        <v>0.56999999999999995</v>
      </c>
      <c r="H726" s="4">
        <v>0</v>
      </c>
    </row>
    <row r="727" spans="1:8" x14ac:dyDescent="0.2">
      <c r="A727" s="2" t="s">
        <v>75</v>
      </c>
      <c r="B727" s="4">
        <v>5</v>
      </c>
      <c r="C727" s="5">
        <v>0.39</v>
      </c>
      <c r="D727" s="4">
        <v>0</v>
      </c>
      <c r="E727" s="5">
        <v>0</v>
      </c>
      <c r="F727" s="4">
        <v>5</v>
      </c>
      <c r="G727" s="5">
        <v>0.72</v>
      </c>
      <c r="H727" s="4">
        <v>0</v>
      </c>
    </row>
    <row r="728" spans="1:8" x14ac:dyDescent="0.2">
      <c r="A728" s="2" t="s">
        <v>76</v>
      </c>
      <c r="B728" s="4">
        <v>14</v>
      </c>
      <c r="C728" s="5">
        <v>1.1000000000000001</v>
      </c>
      <c r="D728" s="4">
        <v>4</v>
      </c>
      <c r="E728" s="5">
        <v>0.7</v>
      </c>
      <c r="F728" s="4">
        <v>10</v>
      </c>
      <c r="G728" s="5">
        <v>1.43</v>
      </c>
      <c r="H728" s="4">
        <v>0</v>
      </c>
    </row>
    <row r="729" spans="1:8" x14ac:dyDescent="0.2">
      <c r="A729" s="2" t="s">
        <v>77</v>
      </c>
      <c r="B729" s="4">
        <v>227</v>
      </c>
      <c r="C729" s="5">
        <v>17.850000000000001</v>
      </c>
      <c r="D729" s="4">
        <v>100</v>
      </c>
      <c r="E729" s="5">
        <v>17.54</v>
      </c>
      <c r="F729" s="4">
        <v>127</v>
      </c>
      <c r="G729" s="5">
        <v>18.22</v>
      </c>
      <c r="H729" s="4">
        <v>0</v>
      </c>
    </row>
    <row r="730" spans="1:8" x14ac:dyDescent="0.2">
      <c r="A730" s="2" t="s">
        <v>78</v>
      </c>
      <c r="B730" s="4">
        <v>7</v>
      </c>
      <c r="C730" s="5">
        <v>0.55000000000000004</v>
      </c>
      <c r="D730" s="4">
        <v>2</v>
      </c>
      <c r="E730" s="5">
        <v>0.35</v>
      </c>
      <c r="F730" s="4">
        <v>5</v>
      </c>
      <c r="G730" s="5">
        <v>0.72</v>
      </c>
      <c r="H730" s="4">
        <v>0</v>
      </c>
    </row>
    <row r="731" spans="1:8" x14ac:dyDescent="0.2">
      <c r="A731" s="2" t="s">
        <v>79</v>
      </c>
      <c r="B731" s="4">
        <v>147</v>
      </c>
      <c r="C731" s="5">
        <v>11.56</v>
      </c>
      <c r="D731" s="4">
        <v>57</v>
      </c>
      <c r="E731" s="5">
        <v>10</v>
      </c>
      <c r="F731" s="4">
        <v>90</v>
      </c>
      <c r="G731" s="5">
        <v>12.91</v>
      </c>
      <c r="H731" s="4">
        <v>0</v>
      </c>
    </row>
    <row r="732" spans="1:8" x14ac:dyDescent="0.2">
      <c r="A732" s="2" t="s">
        <v>80</v>
      </c>
      <c r="B732" s="4">
        <v>72</v>
      </c>
      <c r="C732" s="5">
        <v>5.66</v>
      </c>
      <c r="D732" s="4">
        <v>40</v>
      </c>
      <c r="E732" s="5">
        <v>7.02</v>
      </c>
      <c r="F732" s="4">
        <v>32</v>
      </c>
      <c r="G732" s="5">
        <v>4.59</v>
      </c>
      <c r="H732" s="4">
        <v>0</v>
      </c>
    </row>
    <row r="733" spans="1:8" x14ac:dyDescent="0.2">
      <c r="A733" s="2" t="s">
        <v>81</v>
      </c>
      <c r="B733" s="4">
        <v>97</v>
      </c>
      <c r="C733" s="5">
        <v>7.63</v>
      </c>
      <c r="D733" s="4">
        <v>72</v>
      </c>
      <c r="E733" s="5">
        <v>12.63</v>
      </c>
      <c r="F733" s="4">
        <v>25</v>
      </c>
      <c r="G733" s="5">
        <v>3.59</v>
      </c>
      <c r="H733" s="4">
        <v>0</v>
      </c>
    </row>
    <row r="734" spans="1:8" x14ac:dyDescent="0.2">
      <c r="A734" s="2" t="s">
        <v>82</v>
      </c>
      <c r="B734" s="4">
        <v>123</v>
      </c>
      <c r="C734" s="5">
        <v>9.67</v>
      </c>
      <c r="D734" s="4">
        <v>94</v>
      </c>
      <c r="E734" s="5">
        <v>16.489999999999998</v>
      </c>
      <c r="F734" s="4">
        <v>29</v>
      </c>
      <c r="G734" s="5">
        <v>4.16</v>
      </c>
      <c r="H734" s="4">
        <v>0</v>
      </c>
    </row>
    <row r="735" spans="1:8" x14ac:dyDescent="0.2">
      <c r="A735" s="2" t="s">
        <v>83</v>
      </c>
      <c r="B735" s="4">
        <v>59</v>
      </c>
      <c r="C735" s="5">
        <v>4.6399999999999997</v>
      </c>
      <c r="D735" s="4">
        <v>47</v>
      </c>
      <c r="E735" s="5">
        <v>8.25</v>
      </c>
      <c r="F735" s="4">
        <v>9</v>
      </c>
      <c r="G735" s="5">
        <v>1.29</v>
      </c>
      <c r="H735" s="4">
        <v>0</v>
      </c>
    </row>
    <row r="736" spans="1:8" x14ac:dyDescent="0.2">
      <c r="A736" s="2" t="s">
        <v>84</v>
      </c>
      <c r="B736" s="4">
        <v>71</v>
      </c>
      <c r="C736" s="5">
        <v>5.58</v>
      </c>
      <c r="D736" s="4">
        <v>43</v>
      </c>
      <c r="E736" s="5">
        <v>7.54</v>
      </c>
      <c r="F736" s="4">
        <v>27</v>
      </c>
      <c r="G736" s="5">
        <v>3.87</v>
      </c>
      <c r="H736" s="4">
        <v>0</v>
      </c>
    </row>
    <row r="737" spans="1:8" x14ac:dyDescent="0.2">
      <c r="A737" s="2" t="s">
        <v>85</v>
      </c>
      <c r="B737" s="4">
        <v>39</v>
      </c>
      <c r="C737" s="5">
        <v>3.07</v>
      </c>
      <c r="D737" s="4">
        <v>9</v>
      </c>
      <c r="E737" s="5">
        <v>1.58</v>
      </c>
      <c r="F737" s="4">
        <v>30</v>
      </c>
      <c r="G737" s="5">
        <v>4.3</v>
      </c>
      <c r="H737" s="4">
        <v>0</v>
      </c>
    </row>
    <row r="738" spans="1:8" x14ac:dyDescent="0.2">
      <c r="A738" s="1" t="s">
        <v>46</v>
      </c>
      <c r="B738" s="4">
        <v>1382</v>
      </c>
      <c r="C738" s="5">
        <v>100</v>
      </c>
      <c r="D738" s="4">
        <v>521</v>
      </c>
      <c r="E738" s="5">
        <v>99.98</v>
      </c>
      <c r="F738" s="4">
        <v>855</v>
      </c>
      <c r="G738" s="5">
        <v>100</v>
      </c>
      <c r="H738" s="4">
        <v>2</v>
      </c>
    </row>
    <row r="739" spans="1:8" x14ac:dyDescent="0.2">
      <c r="A739" s="2" t="s">
        <v>71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72</v>
      </c>
      <c r="B740" s="4">
        <v>219</v>
      </c>
      <c r="C740" s="5">
        <v>15.85</v>
      </c>
      <c r="D740" s="4">
        <v>33</v>
      </c>
      <c r="E740" s="5">
        <v>6.33</v>
      </c>
      <c r="F740" s="4">
        <v>185</v>
      </c>
      <c r="G740" s="5">
        <v>21.64</v>
      </c>
      <c r="H740" s="4">
        <v>1</v>
      </c>
    </row>
    <row r="741" spans="1:8" x14ac:dyDescent="0.2">
      <c r="A741" s="2" t="s">
        <v>73</v>
      </c>
      <c r="B741" s="4">
        <v>131</v>
      </c>
      <c r="C741" s="5">
        <v>9.48</v>
      </c>
      <c r="D741" s="4">
        <v>33</v>
      </c>
      <c r="E741" s="5">
        <v>6.33</v>
      </c>
      <c r="F741" s="4">
        <v>98</v>
      </c>
      <c r="G741" s="5">
        <v>11.46</v>
      </c>
      <c r="H741" s="4">
        <v>0</v>
      </c>
    </row>
    <row r="742" spans="1:8" x14ac:dyDescent="0.2">
      <c r="A742" s="2" t="s">
        <v>74</v>
      </c>
      <c r="B742" s="4">
        <v>3</v>
      </c>
      <c r="C742" s="5">
        <v>0.22</v>
      </c>
      <c r="D742" s="4">
        <v>0</v>
      </c>
      <c r="E742" s="5">
        <v>0</v>
      </c>
      <c r="F742" s="4">
        <v>2</v>
      </c>
      <c r="G742" s="5">
        <v>0.23</v>
      </c>
      <c r="H742" s="4">
        <v>0</v>
      </c>
    </row>
    <row r="743" spans="1:8" x14ac:dyDescent="0.2">
      <c r="A743" s="2" t="s">
        <v>75</v>
      </c>
      <c r="B743" s="4">
        <v>18</v>
      </c>
      <c r="C743" s="5">
        <v>1.3</v>
      </c>
      <c r="D743" s="4">
        <v>0</v>
      </c>
      <c r="E743" s="5">
        <v>0</v>
      </c>
      <c r="F743" s="4">
        <v>18</v>
      </c>
      <c r="G743" s="5">
        <v>2.11</v>
      </c>
      <c r="H743" s="4">
        <v>0</v>
      </c>
    </row>
    <row r="744" spans="1:8" x14ac:dyDescent="0.2">
      <c r="A744" s="2" t="s">
        <v>76</v>
      </c>
      <c r="B744" s="4">
        <v>6</v>
      </c>
      <c r="C744" s="5">
        <v>0.43</v>
      </c>
      <c r="D744" s="4">
        <v>2</v>
      </c>
      <c r="E744" s="5">
        <v>0.38</v>
      </c>
      <c r="F744" s="4">
        <v>4</v>
      </c>
      <c r="G744" s="5">
        <v>0.47</v>
      </c>
      <c r="H744" s="4">
        <v>0</v>
      </c>
    </row>
    <row r="745" spans="1:8" x14ac:dyDescent="0.2">
      <c r="A745" s="2" t="s">
        <v>77</v>
      </c>
      <c r="B745" s="4">
        <v>281</v>
      </c>
      <c r="C745" s="5">
        <v>20.329999999999998</v>
      </c>
      <c r="D745" s="4">
        <v>85</v>
      </c>
      <c r="E745" s="5">
        <v>16.309999999999999</v>
      </c>
      <c r="F745" s="4">
        <v>196</v>
      </c>
      <c r="G745" s="5">
        <v>22.92</v>
      </c>
      <c r="H745" s="4">
        <v>0</v>
      </c>
    </row>
    <row r="746" spans="1:8" x14ac:dyDescent="0.2">
      <c r="A746" s="2" t="s">
        <v>78</v>
      </c>
      <c r="B746" s="4">
        <v>5</v>
      </c>
      <c r="C746" s="5">
        <v>0.36</v>
      </c>
      <c r="D746" s="4">
        <v>1</v>
      </c>
      <c r="E746" s="5">
        <v>0.19</v>
      </c>
      <c r="F746" s="4">
        <v>4</v>
      </c>
      <c r="G746" s="5">
        <v>0.47</v>
      </c>
      <c r="H746" s="4">
        <v>0</v>
      </c>
    </row>
    <row r="747" spans="1:8" x14ac:dyDescent="0.2">
      <c r="A747" s="2" t="s">
        <v>79</v>
      </c>
      <c r="B747" s="4">
        <v>168</v>
      </c>
      <c r="C747" s="5">
        <v>12.16</v>
      </c>
      <c r="D747" s="4">
        <v>37</v>
      </c>
      <c r="E747" s="5">
        <v>7.1</v>
      </c>
      <c r="F747" s="4">
        <v>131</v>
      </c>
      <c r="G747" s="5">
        <v>15.32</v>
      </c>
      <c r="H747" s="4">
        <v>0</v>
      </c>
    </row>
    <row r="748" spans="1:8" x14ac:dyDescent="0.2">
      <c r="A748" s="2" t="s">
        <v>80</v>
      </c>
      <c r="B748" s="4">
        <v>80</v>
      </c>
      <c r="C748" s="5">
        <v>5.79</v>
      </c>
      <c r="D748" s="4">
        <v>42</v>
      </c>
      <c r="E748" s="5">
        <v>8.06</v>
      </c>
      <c r="F748" s="4">
        <v>37</v>
      </c>
      <c r="G748" s="5">
        <v>4.33</v>
      </c>
      <c r="H748" s="4">
        <v>1</v>
      </c>
    </row>
    <row r="749" spans="1:8" x14ac:dyDescent="0.2">
      <c r="A749" s="2" t="s">
        <v>81</v>
      </c>
      <c r="B749" s="4">
        <v>104</v>
      </c>
      <c r="C749" s="5">
        <v>7.53</v>
      </c>
      <c r="D749" s="4">
        <v>73</v>
      </c>
      <c r="E749" s="5">
        <v>14.01</v>
      </c>
      <c r="F749" s="4">
        <v>30</v>
      </c>
      <c r="G749" s="5">
        <v>3.51</v>
      </c>
      <c r="H749" s="4">
        <v>0</v>
      </c>
    </row>
    <row r="750" spans="1:8" x14ac:dyDescent="0.2">
      <c r="A750" s="2" t="s">
        <v>82</v>
      </c>
      <c r="B750" s="4">
        <v>158</v>
      </c>
      <c r="C750" s="5">
        <v>11.43</v>
      </c>
      <c r="D750" s="4">
        <v>108</v>
      </c>
      <c r="E750" s="5">
        <v>20.73</v>
      </c>
      <c r="F750" s="4">
        <v>50</v>
      </c>
      <c r="G750" s="5">
        <v>5.85</v>
      </c>
      <c r="H750" s="4">
        <v>0</v>
      </c>
    </row>
    <row r="751" spans="1:8" x14ac:dyDescent="0.2">
      <c r="A751" s="2" t="s">
        <v>83</v>
      </c>
      <c r="B751" s="4">
        <v>80</v>
      </c>
      <c r="C751" s="5">
        <v>5.79</v>
      </c>
      <c r="D751" s="4">
        <v>49</v>
      </c>
      <c r="E751" s="5">
        <v>9.4</v>
      </c>
      <c r="F751" s="4">
        <v>30</v>
      </c>
      <c r="G751" s="5">
        <v>3.51</v>
      </c>
      <c r="H751" s="4">
        <v>0</v>
      </c>
    </row>
    <row r="752" spans="1:8" x14ac:dyDescent="0.2">
      <c r="A752" s="2" t="s">
        <v>84</v>
      </c>
      <c r="B752" s="4">
        <v>73</v>
      </c>
      <c r="C752" s="5">
        <v>5.28</v>
      </c>
      <c r="D752" s="4">
        <v>45</v>
      </c>
      <c r="E752" s="5">
        <v>8.64</v>
      </c>
      <c r="F752" s="4">
        <v>28</v>
      </c>
      <c r="G752" s="5">
        <v>3.27</v>
      </c>
      <c r="H752" s="4">
        <v>0</v>
      </c>
    </row>
    <row r="753" spans="1:8" x14ac:dyDescent="0.2">
      <c r="A753" s="2" t="s">
        <v>85</v>
      </c>
      <c r="B753" s="4">
        <v>56</v>
      </c>
      <c r="C753" s="5">
        <v>4.05</v>
      </c>
      <c r="D753" s="4">
        <v>13</v>
      </c>
      <c r="E753" s="5">
        <v>2.5</v>
      </c>
      <c r="F753" s="4">
        <v>42</v>
      </c>
      <c r="G753" s="5">
        <v>4.91</v>
      </c>
      <c r="H753" s="4">
        <v>0</v>
      </c>
    </row>
    <row r="754" spans="1:8" x14ac:dyDescent="0.2">
      <c r="A754" s="1" t="s">
        <v>47</v>
      </c>
      <c r="B754" s="4">
        <v>1228</v>
      </c>
      <c r="C754" s="5">
        <v>99.99</v>
      </c>
      <c r="D754" s="4">
        <v>699</v>
      </c>
      <c r="E754" s="5">
        <v>100</v>
      </c>
      <c r="F754" s="4">
        <v>500</v>
      </c>
      <c r="G754" s="5">
        <v>100.00000000000001</v>
      </c>
      <c r="H754" s="4">
        <v>0</v>
      </c>
    </row>
    <row r="755" spans="1:8" x14ac:dyDescent="0.2">
      <c r="A755" s="2" t="s">
        <v>71</v>
      </c>
      <c r="B755" s="4">
        <v>1</v>
      </c>
      <c r="C755" s="5">
        <v>0.08</v>
      </c>
      <c r="D755" s="4">
        <v>0</v>
      </c>
      <c r="E755" s="5">
        <v>0</v>
      </c>
      <c r="F755" s="4">
        <v>1</v>
      </c>
      <c r="G755" s="5">
        <v>0.2</v>
      </c>
      <c r="H755" s="4">
        <v>0</v>
      </c>
    </row>
    <row r="756" spans="1:8" x14ac:dyDescent="0.2">
      <c r="A756" s="2" t="s">
        <v>72</v>
      </c>
      <c r="B756" s="4">
        <v>193</v>
      </c>
      <c r="C756" s="5">
        <v>15.72</v>
      </c>
      <c r="D756" s="4">
        <v>73</v>
      </c>
      <c r="E756" s="5">
        <v>10.44</v>
      </c>
      <c r="F756" s="4">
        <v>120</v>
      </c>
      <c r="G756" s="5">
        <v>24</v>
      </c>
      <c r="H756" s="4">
        <v>0</v>
      </c>
    </row>
    <row r="757" spans="1:8" x14ac:dyDescent="0.2">
      <c r="A757" s="2" t="s">
        <v>73</v>
      </c>
      <c r="B757" s="4">
        <v>78</v>
      </c>
      <c r="C757" s="5">
        <v>6.35</v>
      </c>
      <c r="D757" s="4">
        <v>28</v>
      </c>
      <c r="E757" s="5">
        <v>4.01</v>
      </c>
      <c r="F757" s="4">
        <v>50</v>
      </c>
      <c r="G757" s="5">
        <v>10</v>
      </c>
      <c r="H757" s="4">
        <v>0</v>
      </c>
    </row>
    <row r="758" spans="1:8" x14ac:dyDescent="0.2">
      <c r="A758" s="2" t="s">
        <v>74</v>
      </c>
      <c r="B758" s="4">
        <v>1</v>
      </c>
      <c r="C758" s="5">
        <v>0.08</v>
      </c>
      <c r="D758" s="4">
        <v>0</v>
      </c>
      <c r="E758" s="5">
        <v>0</v>
      </c>
      <c r="F758" s="4">
        <v>1</v>
      </c>
      <c r="G758" s="5">
        <v>0.2</v>
      </c>
      <c r="H758" s="4">
        <v>0</v>
      </c>
    </row>
    <row r="759" spans="1:8" x14ac:dyDescent="0.2">
      <c r="A759" s="2" t="s">
        <v>75</v>
      </c>
      <c r="B759" s="4">
        <v>2</v>
      </c>
      <c r="C759" s="5">
        <v>0.16</v>
      </c>
      <c r="D759" s="4">
        <v>0</v>
      </c>
      <c r="E759" s="5">
        <v>0</v>
      </c>
      <c r="F759" s="4">
        <v>2</v>
      </c>
      <c r="G759" s="5">
        <v>0.4</v>
      </c>
      <c r="H759" s="4">
        <v>0</v>
      </c>
    </row>
    <row r="760" spans="1:8" x14ac:dyDescent="0.2">
      <c r="A760" s="2" t="s">
        <v>76</v>
      </c>
      <c r="B760" s="4">
        <v>12</v>
      </c>
      <c r="C760" s="5">
        <v>0.98</v>
      </c>
      <c r="D760" s="4">
        <v>3</v>
      </c>
      <c r="E760" s="5">
        <v>0.43</v>
      </c>
      <c r="F760" s="4">
        <v>9</v>
      </c>
      <c r="G760" s="5">
        <v>1.8</v>
      </c>
      <c r="H760" s="4">
        <v>0</v>
      </c>
    </row>
    <row r="761" spans="1:8" x14ac:dyDescent="0.2">
      <c r="A761" s="2" t="s">
        <v>77</v>
      </c>
      <c r="B761" s="4">
        <v>372</v>
      </c>
      <c r="C761" s="5">
        <v>30.29</v>
      </c>
      <c r="D761" s="4">
        <v>197</v>
      </c>
      <c r="E761" s="5">
        <v>28.18</v>
      </c>
      <c r="F761" s="4">
        <v>175</v>
      </c>
      <c r="G761" s="5">
        <v>35</v>
      </c>
      <c r="H761" s="4">
        <v>0</v>
      </c>
    </row>
    <row r="762" spans="1:8" x14ac:dyDescent="0.2">
      <c r="A762" s="2" t="s">
        <v>78</v>
      </c>
      <c r="B762" s="4">
        <v>3</v>
      </c>
      <c r="C762" s="5">
        <v>0.24</v>
      </c>
      <c r="D762" s="4">
        <v>2</v>
      </c>
      <c r="E762" s="5">
        <v>0.28999999999999998</v>
      </c>
      <c r="F762" s="4">
        <v>1</v>
      </c>
      <c r="G762" s="5">
        <v>0.2</v>
      </c>
      <c r="H762" s="4">
        <v>0</v>
      </c>
    </row>
    <row r="763" spans="1:8" x14ac:dyDescent="0.2">
      <c r="A763" s="2" t="s">
        <v>79</v>
      </c>
      <c r="B763" s="4">
        <v>36</v>
      </c>
      <c r="C763" s="5">
        <v>2.93</v>
      </c>
      <c r="D763" s="4">
        <v>10</v>
      </c>
      <c r="E763" s="5">
        <v>1.43</v>
      </c>
      <c r="F763" s="4">
        <v>25</v>
      </c>
      <c r="G763" s="5">
        <v>5</v>
      </c>
      <c r="H763" s="4">
        <v>0</v>
      </c>
    </row>
    <row r="764" spans="1:8" x14ac:dyDescent="0.2">
      <c r="A764" s="2" t="s">
        <v>80</v>
      </c>
      <c r="B764" s="4">
        <v>35</v>
      </c>
      <c r="C764" s="5">
        <v>2.85</v>
      </c>
      <c r="D764" s="4">
        <v>21</v>
      </c>
      <c r="E764" s="5">
        <v>3</v>
      </c>
      <c r="F764" s="4">
        <v>14</v>
      </c>
      <c r="G764" s="5">
        <v>2.8</v>
      </c>
      <c r="H764" s="4">
        <v>0</v>
      </c>
    </row>
    <row r="765" spans="1:8" x14ac:dyDescent="0.2">
      <c r="A765" s="2" t="s">
        <v>81</v>
      </c>
      <c r="B765" s="4">
        <v>188</v>
      </c>
      <c r="C765" s="5">
        <v>15.31</v>
      </c>
      <c r="D765" s="4">
        <v>141</v>
      </c>
      <c r="E765" s="5">
        <v>20.170000000000002</v>
      </c>
      <c r="F765" s="4">
        <v>46</v>
      </c>
      <c r="G765" s="5">
        <v>9.1999999999999993</v>
      </c>
      <c r="H765" s="4">
        <v>0</v>
      </c>
    </row>
    <row r="766" spans="1:8" x14ac:dyDescent="0.2">
      <c r="A766" s="2" t="s">
        <v>82</v>
      </c>
      <c r="B766" s="4">
        <v>163</v>
      </c>
      <c r="C766" s="5">
        <v>13.27</v>
      </c>
      <c r="D766" s="4">
        <v>140</v>
      </c>
      <c r="E766" s="5">
        <v>20.03</v>
      </c>
      <c r="F766" s="4">
        <v>22</v>
      </c>
      <c r="G766" s="5">
        <v>4.4000000000000004</v>
      </c>
      <c r="H766" s="4">
        <v>0</v>
      </c>
    </row>
    <row r="767" spans="1:8" x14ac:dyDescent="0.2">
      <c r="A767" s="2" t="s">
        <v>83</v>
      </c>
      <c r="B767" s="4">
        <v>43</v>
      </c>
      <c r="C767" s="5">
        <v>3.5</v>
      </c>
      <c r="D767" s="4">
        <v>34</v>
      </c>
      <c r="E767" s="5">
        <v>4.8600000000000003</v>
      </c>
      <c r="F767" s="4">
        <v>6</v>
      </c>
      <c r="G767" s="5">
        <v>1.2</v>
      </c>
      <c r="H767" s="4">
        <v>0</v>
      </c>
    </row>
    <row r="768" spans="1:8" x14ac:dyDescent="0.2">
      <c r="A768" s="2" t="s">
        <v>84</v>
      </c>
      <c r="B768" s="4">
        <v>39</v>
      </c>
      <c r="C768" s="5">
        <v>3.18</v>
      </c>
      <c r="D768" s="4">
        <v>32</v>
      </c>
      <c r="E768" s="5">
        <v>4.58</v>
      </c>
      <c r="F768" s="4">
        <v>6</v>
      </c>
      <c r="G768" s="5">
        <v>1.2</v>
      </c>
      <c r="H768" s="4">
        <v>0</v>
      </c>
    </row>
    <row r="769" spans="1:8" x14ac:dyDescent="0.2">
      <c r="A769" s="2" t="s">
        <v>85</v>
      </c>
      <c r="B769" s="4">
        <v>62</v>
      </c>
      <c r="C769" s="5">
        <v>5.05</v>
      </c>
      <c r="D769" s="4">
        <v>18</v>
      </c>
      <c r="E769" s="5">
        <v>2.58</v>
      </c>
      <c r="F769" s="4">
        <v>22</v>
      </c>
      <c r="G769" s="5">
        <v>4.4000000000000004</v>
      </c>
      <c r="H769" s="4">
        <v>0</v>
      </c>
    </row>
    <row r="770" spans="1:8" x14ac:dyDescent="0.2">
      <c r="A770" s="1" t="s">
        <v>48</v>
      </c>
      <c r="B770" s="4">
        <v>1195</v>
      </c>
      <c r="C770" s="5">
        <v>100.01</v>
      </c>
      <c r="D770" s="4">
        <v>638</v>
      </c>
      <c r="E770" s="5">
        <v>99.990000000000009</v>
      </c>
      <c r="F770" s="4">
        <v>553</v>
      </c>
      <c r="G770" s="5">
        <v>99.97999999999999</v>
      </c>
      <c r="H770" s="4">
        <v>2</v>
      </c>
    </row>
    <row r="771" spans="1:8" x14ac:dyDescent="0.2">
      <c r="A771" s="2" t="s">
        <v>71</v>
      </c>
      <c r="B771" s="4">
        <v>2</v>
      </c>
      <c r="C771" s="5">
        <v>0.17</v>
      </c>
      <c r="D771" s="4">
        <v>0</v>
      </c>
      <c r="E771" s="5">
        <v>0</v>
      </c>
      <c r="F771" s="4">
        <v>2</v>
      </c>
      <c r="G771" s="5">
        <v>0.36</v>
      </c>
      <c r="H771" s="4">
        <v>0</v>
      </c>
    </row>
    <row r="772" spans="1:8" x14ac:dyDescent="0.2">
      <c r="A772" s="2" t="s">
        <v>72</v>
      </c>
      <c r="B772" s="4">
        <v>214</v>
      </c>
      <c r="C772" s="5">
        <v>17.91</v>
      </c>
      <c r="D772" s="4">
        <v>79</v>
      </c>
      <c r="E772" s="5">
        <v>12.38</v>
      </c>
      <c r="F772" s="4">
        <v>135</v>
      </c>
      <c r="G772" s="5">
        <v>24.41</v>
      </c>
      <c r="H772" s="4">
        <v>0</v>
      </c>
    </row>
    <row r="773" spans="1:8" x14ac:dyDescent="0.2">
      <c r="A773" s="2" t="s">
        <v>73</v>
      </c>
      <c r="B773" s="4">
        <v>238</v>
      </c>
      <c r="C773" s="5">
        <v>19.920000000000002</v>
      </c>
      <c r="D773" s="4">
        <v>109</v>
      </c>
      <c r="E773" s="5">
        <v>17.079999999999998</v>
      </c>
      <c r="F773" s="4">
        <v>129</v>
      </c>
      <c r="G773" s="5">
        <v>23.33</v>
      </c>
      <c r="H773" s="4">
        <v>0</v>
      </c>
    </row>
    <row r="774" spans="1:8" x14ac:dyDescent="0.2">
      <c r="A774" s="2" t="s">
        <v>74</v>
      </c>
      <c r="B774" s="4">
        <v>5</v>
      </c>
      <c r="C774" s="5">
        <v>0.42</v>
      </c>
      <c r="D774" s="4">
        <v>1</v>
      </c>
      <c r="E774" s="5">
        <v>0.16</v>
      </c>
      <c r="F774" s="4">
        <v>4</v>
      </c>
      <c r="G774" s="5">
        <v>0.72</v>
      </c>
      <c r="H774" s="4">
        <v>0</v>
      </c>
    </row>
    <row r="775" spans="1:8" x14ac:dyDescent="0.2">
      <c r="A775" s="2" t="s">
        <v>75</v>
      </c>
      <c r="B775" s="4">
        <v>6</v>
      </c>
      <c r="C775" s="5">
        <v>0.5</v>
      </c>
      <c r="D775" s="4">
        <v>0</v>
      </c>
      <c r="E775" s="5">
        <v>0</v>
      </c>
      <c r="F775" s="4">
        <v>6</v>
      </c>
      <c r="G775" s="5">
        <v>1.08</v>
      </c>
      <c r="H775" s="4">
        <v>0</v>
      </c>
    </row>
    <row r="776" spans="1:8" x14ac:dyDescent="0.2">
      <c r="A776" s="2" t="s">
        <v>76</v>
      </c>
      <c r="B776" s="4">
        <v>22</v>
      </c>
      <c r="C776" s="5">
        <v>1.84</v>
      </c>
      <c r="D776" s="4">
        <v>2</v>
      </c>
      <c r="E776" s="5">
        <v>0.31</v>
      </c>
      <c r="F776" s="4">
        <v>20</v>
      </c>
      <c r="G776" s="5">
        <v>3.62</v>
      </c>
      <c r="H776" s="4">
        <v>0</v>
      </c>
    </row>
    <row r="777" spans="1:8" x14ac:dyDescent="0.2">
      <c r="A777" s="2" t="s">
        <v>77</v>
      </c>
      <c r="B777" s="4">
        <v>215</v>
      </c>
      <c r="C777" s="5">
        <v>17.989999999999998</v>
      </c>
      <c r="D777" s="4">
        <v>115</v>
      </c>
      <c r="E777" s="5">
        <v>18.03</v>
      </c>
      <c r="F777" s="4">
        <v>100</v>
      </c>
      <c r="G777" s="5">
        <v>18.079999999999998</v>
      </c>
      <c r="H777" s="4">
        <v>0</v>
      </c>
    </row>
    <row r="778" spans="1:8" x14ac:dyDescent="0.2">
      <c r="A778" s="2" t="s">
        <v>78</v>
      </c>
      <c r="B778" s="4">
        <v>7</v>
      </c>
      <c r="C778" s="5">
        <v>0.59</v>
      </c>
      <c r="D778" s="4">
        <v>2</v>
      </c>
      <c r="E778" s="5">
        <v>0.31</v>
      </c>
      <c r="F778" s="4">
        <v>5</v>
      </c>
      <c r="G778" s="5">
        <v>0.9</v>
      </c>
      <c r="H778" s="4">
        <v>0</v>
      </c>
    </row>
    <row r="779" spans="1:8" x14ac:dyDescent="0.2">
      <c r="A779" s="2" t="s">
        <v>79</v>
      </c>
      <c r="B779" s="4">
        <v>75</v>
      </c>
      <c r="C779" s="5">
        <v>6.28</v>
      </c>
      <c r="D779" s="4">
        <v>30</v>
      </c>
      <c r="E779" s="5">
        <v>4.7</v>
      </c>
      <c r="F779" s="4">
        <v>45</v>
      </c>
      <c r="G779" s="5">
        <v>8.14</v>
      </c>
      <c r="H779" s="4">
        <v>0</v>
      </c>
    </row>
    <row r="780" spans="1:8" x14ac:dyDescent="0.2">
      <c r="A780" s="2" t="s">
        <v>80</v>
      </c>
      <c r="B780" s="4">
        <v>37</v>
      </c>
      <c r="C780" s="5">
        <v>3.1</v>
      </c>
      <c r="D780" s="4">
        <v>20</v>
      </c>
      <c r="E780" s="5">
        <v>3.13</v>
      </c>
      <c r="F780" s="4">
        <v>17</v>
      </c>
      <c r="G780" s="5">
        <v>3.07</v>
      </c>
      <c r="H780" s="4">
        <v>0</v>
      </c>
    </row>
    <row r="781" spans="1:8" x14ac:dyDescent="0.2">
      <c r="A781" s="2" t="s">
        <v>81</v>
      </c>
      <c r="B781" s="4">
        <v>109</v>
      </c>
      <c r="C781" s="5">
        <v>9.1199999999999992</v>
      </c>
      <c r="D781" s="4">
        <v>85</v>
      </c>
      <c r="E781" s="5">
        <v>13.32</v>
      </c>
      <c r="F781" s="4">
        <v>23</v>
      </c>
      <c r="G781" s="5">
        <v>4.16</v>
      </c>
      <c r="H781" s="4">
        <v>0</v>
      </c>
    </row>
    <row r="782" spans="1:8" x14ac:dyDescent="0.2">
      <c r="A782" s="2" t="s">
        <v>82</v>
      </c>
      <c r="B782" s="4">
        <v>112</v>
      </c>
      <c r="C782" s="5">
        <v>9.3699999999999992</v>
      </c>
      <c r="D782" s="4">
        <v>89</v>
      </c>
      <c r="E782" s="5">
        <v>13.95</v>
      </c>
      <c r="F782" s="4">
        <v>22</v>
      </c>
      <c r="G782" s="5">
        <v>3.98</v>
      </c>
      <c r="H782" s="4">
        <v>1</v>
      </c>
    </row>
    <row r="783" spans="1:8" x14ac:dyDescent="0.2">
      <c r="A783" s="2" t="s">
        <v>83</v>
      </c>
      <c r="B783" s="4">
        <v>47</v>
      </c>
      <c r="C783" s="5">
        <v>3.93</v>
      </c>
      <c r="D783" s="4">
        <v>40</v>
      </c>
      <c r="E783" s="5">
        <v>6.27</v>
      </c>
      <c r="F783" s="4">
        <v>6</v>
      </c>
      <c r="G783" s="5">
        <v>1.08</v>
      </c>
      <c r="H783" s="4">
        <v>0</v>
      </c>
    </row>
    <row r="784" spans="1:8" x14ac:dyDescent="0.2">
      <c r="A784" s="2" t="s">
        <v>84</v>
      </c>
      <c r="B784" s="4">
        <v>55</v>
      </c>
      <c r="C784" s="5">
        <v>4.5999999999999996</v>
      </c>
      <c r="D784" s="4">
        <v>40</v>
      </c>
      <c r="E784" s="5">
        <v>6.27</v>
      </c>
      <c r="F784" s="4">
        <v>15</v>
      </c>
      <c r="G784" s="5">
        <v>2.71</v>
      </c>
      <c r="H784" s="4">
        <v>0</v>
      </c>
    </row>
    <row r="785" spans="1:8" x14ac:dyDescent="0.2">
      <c r="A785" s="2" t="s">
        <v>85</v>
      </c>
      <c r="B785" s="4">
        <v>51</v>
      </c>
      <c r="C785" s="5">
        <v>4.2699999999999996</v>
      </c>
      <c r="D785" s="4">
        <v>26</v>
      </c>
      <c r="E785" s="5">
        <v>4.08</v>
      </c>
      <c r="F785" s="4">
        <v>24</v>
      </c>
      <c r="G785" s="5">
        <v>4.34</v>
      </c>
      <c r="H785" s="4">
        <v>1</v>
      </c>
    </row>
    <row r="786" spans="1:8" x14ac:dyDescent="0.2">
      <c r="A786" s="1" t="s">
        <v>49</v>
      </c>
      <c r="B786" s="4">
        <v>1490</v>
      </c>
      <c r="C786" s="5">
        <v>100</v>
      </c>
      <c r="D786" s="4">
        <v>618</v>
      </c>
      <c r="E786" s="5">
        <v>100.00999999999999</v>
      </c>
      <c r="F786" s="4">
        <v>859</v>
      </c>
      <c r="G786" s="5">
        <v>100.01</v>
      </c>
      <c r="H786" s="4">
        <v>2</v>
      </c>
    </row>
    <row r="787" spans="1:8" x14ac:dyDescent="0.2">
      <c r="A787" s="2" t="s">
        <v>71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72</v>
      </c>
      <c r="B788" s="4">
        <v>226</v>
      </c>
      <c r="C788" s="5">
        <v>15.17</v>
      </c>
      <c r="D788" s="4">
        <v>37</v>
      </c>
      <c r="E788" s="5">
        <v>5.99</v>
      </c>
      <c r="F788" s="4">
        <v>189</v>
      </c>
      <c r="G788" s="5">
        <v>22</v>
      </c>
      <c r="H788" s="4">
        <v>0</v>
      </c>
    </row>
    <row r="789" spans="1:8" x14ac:dyDescent="0.2">
      <c r="A789" s="2" t="s">
        <v>73</v>
      </c>
      <c r="B789" s="4">
        <v>287</v>
      </c>
      <c r="C789" s="5">
        <v>19.260000000000002</v>
      </c>
      <c r="D789" s="4">
        <v>70</v>
      </c>
      <c r="E789" s="5">
        <v>11.33</v>
      </c>
      <c r="F789" s="4">
        <v>217</v>
      </c>
      <c r="G789" s="5">
        <v>25.26</v>
      </c>
      <c r="H789" s="4">
        <v>0</v>
      </c>
    </row>
    <row r="790" spans="1:8" x14ac:dyDescent="0.2">
      <c r="A790" s="2" t="s">
        <v>74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2">
      <c r="A791" s="2" t="s">
        <v>75</v>
      </c>
      <c r="B791" s="4">
        <v>9</v>
      </c>
      <c r="C791" s="5">
        <v>0.6</v>
      </c>
      <c r="D791" s="4">
        <v>0</v>
      </c>
      <c r="E791" s="5">
        <v>0</v>
      </c>
      <c r="F791" s="4">
        <v>9</v>
      </c>
      <c r="G791" s="5">
        <v>1.05</v>
      </c>
      <c r="H791" s="4">
        <v>0</v>
      </c>
    </row>
    <row r="792" spans="1:8" x14ac:dyDescent="0.2">
      <c r="A792" s="2" t="s">
        <v>76</v>
      </c>
      <c r="B792" s="4">
        <v>19</v>
      </c>
      <c r="C792" s="5">
        <v>1.28</v>
      </c>
      <c r="D792" s="4">
        <v>1</v>
      </c>
      <c r="E792" s="5">
        <v>0.16</v>
      </c>
      <c r="F792" s="4">
        <v>18</v>
      </c>
      <c r="G792" s="5">
        <v>2.1</v>
      </c>
      <c r="H792" s="4">
        <v>0</v>
      </c>
    </row>
    <row r="793" spans="1:8" x14ac:dyDescent="0.2">
      <c r="A793" s="2" t="s">
        <v>77</v>
      </c>
      <c r="B793" s="4">
        <v>324</v>
      </c>
      <c r="C793" s="5">
        <v>21.74</v>
      </c>
      <c r="D793" s="4">
        <v>141</v>
      </c>
      <c r="E793" s="5">
        <v>22.82</v>
      </c>
      <c r="F793" s="4">
        <v>183</v>
      </c>
      <c r="G793" s="5">
        <v>21.3</v>
      </c>
      <c r="H793" s="4">
        <v>0</v>
      </c>
    </row>
    <row r="794" spans="1:8" x14ac:dyDescent="0.2">
      <c r="A794" s="2" t="s">
        <v>78</v>
      </c>
      <c r="B794" s="4">
        <v>5</v>
      </c>
      <c r="C794" s="5">
        <v>0.34</v>
      </c>
      <c r="D794" s="4">
        <v>1</v>
      </c>
      <c r="E794" s="5">
        <v>0.16</v>
      </c>
      <c r="F794" s="4">
        <v>4</v>
      </c>
      <c r="G794" s="5">
        <v>0.47</v>
      </c>
      <c r="H794" s="4">
        <v>0</v>
      </c>
    </row>
    <row r="795" spans="1:8" x14ac:dyDescent="0.2">
      <c r="A795" s="2" t="s">
        <v>79</v>
      </c>
      <c r="B795" s="4">
        <v>127</v>
      </c>
      <c r="C795" s="5">
        <v>8.52</v>
      </c>
      <c r="D795" s="4">
        <v>26</v>
      </c>
      <c r="E795" s="5">
        <v>4.21</v>
      </c>
      <c r="F795" s="4">
        <v>101</v>
      </c>
      <c r="G795" s="5">
        <v>11.76</v>
      </c>
      <c r="H795" s="4">
        <v>0</v>
      </c>
    </row>
    <row r="796" spans="1:8" x14ac:dyDescent="0.2">
      <c r="A796" s="2" t="s">
        <v>80</v>
      </c>
      <c r="B796" s="4">
        <v>62</v>
      </c>
      <c r="C796" s="5">
        <v>4.16</v>
      </c>
      <c r="D796" s="4">
        <v>34</v>
      </c>
      <c r="E796" s="5">
        <v>5.5</v>
      </c>
      <c r="F796" s="4">
        <v>28</v>
      </c>
      <c r="G796" s="5">
        <v>3.26</v>
      </c>
      <c r="H796" s="4">
        <v>0</v>
      </c>
    </row>
    <row r="797" spans="1:8" x14ac:dyDescent="0.2">
      <c r="A797" s="2" t="s">
        <v>81</v>
      </c>
      <c r="B797" s="4">
        <v>126</v>
      </c>
      <c r="C797" s="5">
        <v>8.4600000000000009</v>
      </c>
      <c r="D797" s="4">
        <v>106</v>
      </c>
      <c r="E797" s="5">
        <v>17.149999999999999</v>
      </c>
      <c r="F797" s="4">
        <v>20</v>
      </c>
      <c r="G797" s="5">
        <v>2.33</v>
      </c>
      <c r="H797" s="4">
        <v>0</v>
      </c>
    </row>
    <row r="798" spans="1:8" x14ac:dyDescent="0.2">
      <c r="A798" s="2" t="s">
        <v>82</v>
      </c>
      <c r="B798" s="4">
        <v>135</v>
      </c>
      <c r="C798" s="5">
        <v>9.06</v>
      </c>
      <c r="D798" s="4">
        <v>103</v>
      </c>
      <c r="E798" s="5">
        <v>16.670000000000002</v>
      </c>
      <c r="F798" s="4">
        <v>30</v>
      </c>
      <c r="G798" s="5">
        <v>3.49</v>
      </c>
      <c r="H798" s="4">
        <v>0</v>
      </c>
    </row>
    <row r="799" spans="1:8" x14ac:dyDescent="0.2">
      <c r="A799" s="2" t="s">
        <v>83</v>
      </c>
      <c r="B799" s="4">
        <v>43</v>
      </c>
      <c r="C799" s="5">
        <v>2.89</v>
      </c>
      <c r="D799" s="4">
        <v>36</v>
      </c>
      <c r="E799" s="5">
        <v>5.83</v>
      </c>
      <c r="F799" s="4">
        <v>5</v>
      </c>
      <c r="G799" s="5">
        <v>0.57999999999999996</v>
      </c>
      <c r="H799" s="4">
        <v>1</v>
      </c>
    </row>
    <row r="800" spans="1:8" x14ac:dyDescent="0.2">
      <c r="A800" s="2" t="s">
        <v>84</v>
      </c>
      <c r="B800" s="4">
        <v>65</v>
      </c>
      <c r="C800" s="5">
        <v>4.3600000000000003</v>
      </c>
      <c r="D800" s="4">
        <v>44</v>
      </c>
      <c r="E800" s="5">
        <v>7.12</v>
      </c>
      <c r="F800" s="4">
        <v>15</v>
      </c>
      <c r="G800" s="5">
        <v>1.75</v>
      </c>
      <c r="H800" s="4">
        <v>0</v>
      </c>
    </row>
    <row r="801" spans="1:8" x14ac:dyDescent="0.2">
      <c r="A801" s="2" t="s">
        <v>85</v>
      </c>
      <c r="B801" s="4">
        <v>62</v>
      </c>
      <c r="C801" s="5">
        <v>4.16</v>
      </c>
      <c r="D801" s="4">
        <v>19</v>
      </c>
      <c r="E801" s="5">
        <v>3.07</v>
      </c>
      <c r="F801" s="4">
        <v>40</v>
      </c>
      <c r="G801" s="5">
        <v>4.66</v>
      </c>
      <c r="H801" s="4">
        <v>1</v>
      </c>
    </row>
    <row r="802" spans="1:8" x14ac:dyDescent="0.2">
      <c r="A802" s="1" t="s">
        <v>50</v>
      </c>
      <c r="B802" s="4">
        <v>1755</v>
      </c>
      <c r="C802" s="5">
        <v>100.01</v>
      </c>
      <c r="D802" s="4">
        <v>805</v>
      </c>
      <c r="E802" s="5">
        <v>99.99</v>
      </c>
      <c r="F802" s="4">
        <v>941</v>
      </c>
      <c r="G802" s="5">
        <v>100.00999999999999</v>
      </c>
      <c r="H802" s="4">
        <v>0</v>
      </c>
    </row>
    <row r="803" spans="1:8" x14ac:dyDescent="0.2">
      <c r="A803" s="2" t="s">
        <v>71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72</v>
      </c>
      <c r="B804" s="4">
        <v>297</v>
      </c>
      <c r="C804" s="5">
        <v>16.920000000000002</v>
      </c>
      <c r="D804" s="4">
        <v>66</v>
      </c>
      <c r="E804" s="5">
        <v>8.1999999999999993</v>
      </c>
      <c r="F804" s="4">
        <v>231</v>
      </c>
      <c r="G804" s="5">
        <v>24.55</v>
      </c>
      <c r="H804" s="4">
        <v>0</v>
      </c>
    </row>
    <row r="805" spans="1:8" x14ac:dyDescent="0.2">
      <c r="A805" s="2" t="s">
        <v>73</v>
      </c>
      <c r="B805" s="4">
        <v>314</v>
      </c>
      <c r="C805" s="5">
        <v>17.89</v>
      </c>
      <c r="D805" s="4">
        <v>111</v>
      </c>
      <c r="E805" s="5">
        <v>13.79</v>
      </c>
      <c r="F805" s="4">
        <v>203</v>
      </c>
      <c r="G805" s="5">
        <v>21.57</v>
      </c>
      <c r="H805" s="4">
        <v>0</v>
      </c>
    </row>
    <row r="806" spans="1:8" x14ac:dyDescent="0.2">
      <c r="A806" s="2" t="s">
        <v>74</v>
      </c>
      <c r="B806" s="4">
        <v>1</v>
      </c>
      <c r="C806" s="5">
        <v>0.06</v>
      </c>
      <c r="D806" s="4">
        <v>0</v>
      </c>
      <c r="E806" s="5">
        <v>0</v>
      </c>
      <c r="F806" s="4">
        <v>1</v>
      </c>
      <c r="G806" s="5">
        <v>0.11</v>
      </c>
      <c r="H806" s="4">
        <v>0</v>
      </c>
    </row>
    <row r="807" spans="1:8" x14ac:dyDescent="0.2">
      <c r="A807" s="2" t="s">
        <v>75</v>
      </c>
      <c r="B807" s="4">
        <v>10</v>
      </c>
      <c r="C807" s="5">
        <v>0.56999999999999995</v>
      </c>
      <c r="D807" s="4">
        <v>1</v>
      </c>
      <c r="E807" s="5">
        <v>0.12</v>
      </c>
      <c r="F807" s="4">
        <v>9</v>
      </c>
      <c r="G807" s="5">
        <v>0.96</v>
      </c>
      <c r="H807" s="4">
        <v>0</v>
      </c>
    </row>
    <row r="808" spans="1:8" x14ac:dyDescent="0.2">
      <c r="A808" s="2" t="s">
        <v>76</v>
      </c>
      <c r="B808" s="4">
        <v>36</v>
      </c>
      <c r="C808" s="5">
        <v>2.0499999999999998</v>
      </c>
      <c r="D808" s="4">
        <v>3</v>
      </c>
      <c r="E808" s="5">
        <v>0.37</v>
      </c>
      <c r="F808" s="4">
        <v>33</v>
      </c>
      <c r="G808" s="5">
        <v>3.51</v>
      </c>
      <c r="H808" s="4">
        <v>0</v>
      </c>
    </row>
    <row r="809" spans="1:8" x14ac:dyDescent="0.2">
      <c r="A809" s="2" t="s">
        <v>77</v>
      </c>
      <c r="B809" s="4">
        <v>328</v>
      </c>
      <c r="C809" s="5">
        <v>18.690000000000001</v>
      </c>
      <c r="D809" s="4">
        <v>136</v>
      </c>
      <c r="E809" s="5">
        <v>16.89</v>
      </c>
      <c r="F809" s="4">
        <v>192</v>
      </c>
      <c r="G809" s="5">
        <v>20.399999999999999</v>
      </c>
      <c r="H809" s="4">
        <v>0</v>
      </c>
    </row>
    <row r="810" spans="1:8" x14ac:dyDescent="0.2">
      <c r="A810" s="2" t="s">
        <v>78</v>
      </c>
      <c r="B810" s="4">
        <v>7</v>
      </c>
      <c r="C810" s="5">
        <v>0.4</v>
      </c>
      <c r="D810" s="4">
        <v>2</v>
      </c>
      <c r="E810" s="5">
        <v>0.25</v>
      </c>
      <c r="F810" s="4">
        <v>5</v>
      </c>
      <c r="G810" s="5">
        <v>0.53</v>
      </c>
      <c r="H810" s="4">
        <v>0</v>
      </c>
    </row>
    <row r="811" spans="1:8" x14ac:dyDescent="0.2">
      <c r="A811" s="2" t="s">
        <v>79</v>
      </c>
      <c r="B811" s="4">
        <v>162</v>
      </c>
      <c r="C811" s="5">
        <v>9.23</v>
      </c>
      <c r="D811" s="4">
        <v>76</v>
      </c>
      <c r="E811" s="5">
        <v>9.44</v>
      </c>
      <c r="F811" s="4">
        <v>86</v>
      </c>
      <c r="G811" s="5">
        <v>9.14</v>
      </c>
      <c r="H811" s="4">
        <v>0</v>
      </c>
    </row>
    <row r="812" spans="1:8" x14ac:dyDescent="0.2">
      <c r="A812" s="2" t="s">
        <v>80</v>
      </c>
      <c r="B812" s="4">
        <v>67</v>
      </c>
      <c r="C812" s="5">
        <v>3.82</v>
      </c>
      <c r="D812" s="4">
        <v>35</v>
      </c>
      <c r="E812" s="5">
        <v>4.3499999999999996</v>
      </c>
      <c r="F812" s="4">
        <v>32</v>
      </c>
      <c r="G812" s="5">
        <v>3.4</v>
      </c>
      <c r="H812" s="4">
        <v>0</v>
      </c>
    </row>
    <row r="813" spans="1:8" x14ac:dyDescent="0.2">
      <c r="A813" s="2" t="s">
        <v>81</v>
      </c>
      <c r="B813" s="4">
        <v>144</v>
      </c>
      <c r="C813" s="5">
        <v>8.2100000000000009</v>
      </c>
      <c r="D813" s="4">
        <v>124</v>
      </c>
      <c r="E813" s="5">
        <v>15.4</v>
      </c>
      <c r="F813" s="4">
        <v>20</v>
      </c>
      <c r="G813" s="5">
        <v>2.13</v>
      </c>
      <c r="H813" s="4">
        <v>0</v>
      </c>
    </row>
    <row r="814" spans="1:8" x14ac:dyDescent="0.2">
      <c r="A814" s="2" t="s">
        <v>82</v>
      </c>
      <c r="B814" s="4">
        <v>160</v>
      </c>
      <c r="C814" s="5">
        <v>9.1199999999999992</v>
      </c>
      <c r="D814" s="4">
        <v>121</v>
      </c>
      <c r="E814" s="5">
        <v>15.03</v>
      </c>
      <c r="F814" s="4">
        <v>39</v>
      </c>
      <c r="G814" s="5">
        <v>4.1399999999999997</v>
      </c>
      <c r="H814" s="4">
        <v>0</v>
      </c>
    </row>
    <row r="815" spans="1:8" x14ac:dyDescent="0.2">
      <c r="A815" s="2" t="s">
        <v>83</v>
      </c>
      <c r="B815" s="4">
        <v>71</v>
      </c>
      <c r="C815" s="5">
        <v>4.05</v>
      </c>
      <c r="D815" s="4">
        <v>50</v>
      </c>
      <c r="E815" s="5">
        <v>6.21</v>
      </c>
      <c r="F815" s="4">
        <v>20</v>
      </c>
      <c r="G815" s="5">
        <v>2.13</v>
      </c>
      <c r="H815" s="4">
        <v>0</v>
      </c>
    </row>
    <row r="816" spans="1:8" x14ac:dyDescent="0.2">
      <c r="A816" s="2" t="s">
        <v>84</v>
      </c>
      <c r="B816" s="4">
        <v>78</v>
      </c>
      <c r="C816" s="5">
        <v>4.4400000000000004</v>
      </c>
      <c r="D816" s="4">
        <v>44</v>
      </c>
      <c r="E816" s="5">
        <v>5.47</v>
      </c>
      <c r="F816" s="4">
        <v>26</v>
      </c>
      <c r="G816" s="5">
        <v>2.76</v>
      </c>
      <c r="H816" s="4">
        <v>0</v>
      </c>
    </row>
    <row r="817" spans="1:8" x14ac:dyDescent="0.2">
      <c r="A817" s="2" t="s">
        <v>85</v>
      </c>
      <c r="B817" s="4">
        <v>80</v>
      </c>
      <c r="C817" s="5">
        <v>4.5599999999999996</v>
      </c>
      <c r="D817" s="4">
        <v>36</v>
      </c>
      <c r="E817" s="5">
        <v>4.47</v>
      </c>
      <c r="F817" s="4">
        <v>44</v>
      </c>
      <c r="G817" s="5">
        <v>4.68</v>
      </c>
      <c r="H817" s="4">
        <v>0</v>
      </c>
    </row>
    <row r="818" spans="1:8" x14ac:dyDescent="0.2">
      <c r="A818" s="1" t="s">
        <v>51</v>
      </c>
      <c r="B818" s="4">
        <v>1021</v>
      </c>
      <c r="C818" s="5">
        <v>100</v>
      </c>
      <c r="D818" s="4">
        <v>507</v>
      </c>
      <c r="E818" s="5">
        <v>99.99</v>
      </c>
      <c r="F818" s="4">
        <v>490</v>
      </c>
      <c r="G818" s="5">
        <v>100.01</v>
      </c>
      <c r="H818" s="4">
        <v>0</v>
      </c>
    </row>
    <row r="819" spans="1:8" x14ac:dyDescent="0.2">
      <c r="A819" s="2" t="s">
        <v>71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2">
      <c r="A820" s="2" t="s">
        <v>72</v>
      </c>
      <c r="B820" s="4">
        <v>135</v>
      </c>
      <c r="C820" s="5">
        <v>13.22</v>
      </c>
      <c r="D820" s="4">
        <v>47</v>
      </c>
      <c r="E820" s="5">
        <v>9.27</v>
      </c>
      <c r="F820" s="4">
        <v>88</v>
      </c>
      <c r="G820" s="5">
        <v>17.96</v>
      </c>
      <c r="H820" s="4">
        <v>0</v>
      </c>
    </row>
    <row r="821" spans="1:8" x14ac:dyDescent="0.2">
      <c r="A821" s="2" t="s">
        <v>73</v>
      </c>
      <c r="B821" s="4">
        <v>178</v>
      </c>
      <c r="C821" s="5">
        <v>17.43</v>
      </c>
      <c r="D821" s="4">
        <v>59</v>
      </c>
      <c r="E821" s="5">
        <v>11.64</v>
      </c>
      <c r="F821" s="4">
        <v>119</v>
      </c>
      <c r="G821" s="5">
        <v>24.29</v>
      </c>
      <c r="H821" s="4">
        <v>0</v>
      </c>
    </row>
    <row r="822" spans="1:8" x14ac:dyDescent="0.2">
      <c r="A822" s="2" t="s">
        <v>74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2">
      <c r="A823" s="2" t="s">
        <v>75</v>
      </c>
      <c r="B823" s="4">
        <v>6</v>
      </c>
      <c r="C823" s="5">
        <v>0.59</v>
      </c>
      <c r="D823" s="4">
        <v>0</v>
      </c>
      <c r="E823" s="5">
        <v>0</v>
      </c>
      <c r="F823" s="4">
        <v>6</v>
      </c>
      <c r="G823" s="5">
        <v>1.22</v>
      </c>
      <c r="H823" s="4">
        <v>0</v>
      </c>
    </row>
    <row r="824" spans="1:8" x14ac:dyDescent="0.2">
      <c r="A824" s="2" t="s">
        <v>76</v>
      </c>
      <c r="B824" s="4">
        <v>36</v>
      </c>
      <c r="C824" s="5">
        <v>3.53</v>
      </c>
      <c r="D824" s="4">
        <v>0</v>
      </c>
      <c r="E824" s="5">
        <v>0</v>
      </c>
      <c r="F824" s="4">
        <v>36</v>
      </c>
      <c r="G824" s="5">
        <v>7.35</v>
      </c>
      <c r="H824" s="4">
        <v>0</v>
      </c>
    </row>
    <row r="825" spans="1:8" x14ac:dyDescent="0.2">
      <c r="A825" s="2" t="s">
        <v>77</v>
      </c>
      <c r="B825" s="4">
        <v>192</v>
      </c>
      <c r="C825" s="5">
        <v>18.809999999999999</v>
      </c>
      <c r="D825" s="4">
        <v>89</v>
      </c>
      <c r="E825" s="5">
        <v>17.55</v>
      </c>
      <c r="F825" s="4">
        <v>103</v>
      </c>
      <c r="G825" s="5">
        <v>21.02</v>
      </c>
      <c r="H825" s="4">
        <v>0</v>
      </c>
    </row>
    <row r="826" spans="1:8" x14ac:dyDescent="0.2">
      <c r="A826" s="2" t="s">
        <v>78</v>
      </c>
      <c r="B826" s="4">
        <v>4</v>
      </c>
      <c r="C826" s="5">
        <v>0.39</v>
      </c>
      <c r="D826" s="4">
        <v>0</v>
      </c>
      <c r="E826" s="5">
        <v>0</v>
      </c>
      <c r="F826" s="4">
        <v>4</v>
      </c>
      <c r="G826" s="5">
        <v>0.82</v>
      </c>
      <c r="H826" s="4">
        <v>0</v>
      </c>
    </row>
    <row r="827" spans="1:8" x14ac:dyDescent="0.2">
      <c r="A827" s="2" t="s">
        <v>79</v>
      </c>
      <c r="B827" s="4">
        <v>81</v>
      </c>
      <c r="C827" s="5">
        <v>7.93</v>
      </c>
      <c r="D827" s="4">
        <v>44</v>
      </c>
      <c r="E827" s="5">
        <v>8.68</v>
      </c>
      <c r="F827" s="4">
        <v>37</v>
      </c>
      <c r="G827" s="5">
        <v>7.55</v>
      </c>
      <c r="H827" s="4">
        <v>0</v>
      </c>
    </row>
    <row r="828" spans="1:8" x14ac:dyDescent="0.2">
      <c r="A828" s="2" t="s">
        <v>80</v>
      </c>
      <c r="B828" s="4">
        <v>32</v>
      </c>
      <c r="C828" s="5">
        <v>3.13</v>
      </c>
      <c r="D828" s="4">
        <v>21</v>
      </c>
      <c r="E828" s="5">
        <v>4.1399999999999997</v>
      </c>
      <c r="F828" s="4">
        <v>9</v>
      </c>
      <c r="G828" s="5">
        <v>1.84</v>
      </c>
      <c r="H828" s="4">
        <v>0</v>
      </c>
    </row>
    <row r="829" spans="1:8" x14ac:dyDescent="0.2">
      <c r="A829" s="2" t="s">
        <v>81</v>
      </c>
      <c r="B829" s="4">
        <v>89</v>
      </c>
      <c r="C829" s="5">
        <v>8.7200000000000006</v>
      </c>
      <c r="D829" s="4">
        <v>61</v>
      </c>
      <c r="E829" s="5">
        <v>12.03</v>
      </c>
      <c r="F829" s="4">
        <v>27</v>
      </c>
      <c r="G829" s="5">
        <v>5.51</v>
      </c>
      <c r="H829" s="4">
        <v>0</v>
      </c>
    </row>
    <row r="830" spans="1:8" x14ac:dyDescent="0.2">
      <c r="A830" s="2" t="s">
        <v>82</v>
      </c>
      <c r="B830" s="4">
        <v>131</v>
      </c>
      <c r="C830" s="5">
        <v>12.83</v>
      </c>
      <c r="D830" s="4">
        <v>109</v>
      </c>
      <c r="E830" s="5">
        <v>21.5</v>
      </c>
      <c r="F830" s="4">
        <v>22</v>
      </c>
      <c r="G830" s="5">
        <v>4.49</v>
      </c>
      <c r="H830" s="4">
        <v>0</v>
      </c>
    </row>
    <row r="831" spans="1:8" x14ac:dyDescent="0.2">
      <c r="A831" s="2" t="s">
        <v>83</v>
      </c>
      <c r="B831" s="4">
        <v>46</v>
      </c>
      <c r="C831" s="5">
        <v>4.51</v>
      </c>
      <c r="D831" s="4">
        <v>36</v>
      </c>
      <c r="E831" s="5">
        <v>7.1</v>
      </c>
      <c r="F831" s="4">
        <v>7</v>
      </c>
      <c r="G831" s="5">
        <v>1.43</v>
      </c>
      <c r="H831" s="4">
        <v>0</v>
      </c>
    </row>
    <row r="832" spans="1:8" x14ac:dyDescent="0.2">
      <c r="A832" s="2" t="s">
        <v>84</v>
      </c>
      <c r="B832" s="4">
        <v>47</v>
      </c>
      <c r="C832" s="5">
        <v>4.5999999999999996</v>
      </c>
      <c r="D832" s="4">
        <v>24</v>
      </c>
      <c r="E832" s="5">
        <v>4.7300000000000004</v>
      </c>
      <c r="F832" s="4">
        <v>10</v>
      </c>
      <c r="G832" s="5">
        <v>2.04</v>
      </c>
      <c r="H832" s="4">
        <v>0</v>
      </c>
    </row>
    <row r="833" spans="1:8" x14ac:dyDescent="0.2">
      <c r="A833" s="2" t="s">
        <v>85</v>
      </c>
      <c r="B833" s="4">
        <v>44</v>
      </c>
      <c r="C833" s="5">
        <v>4.3099999999999996</v>
      </c>
      <c r="D833" s="4">
        <v>17</v>
      </c>
      <c r="E833" s="5">
        <v>3.35</v>
      </c>
      <c r="F833" s="4">
        <v>22</v>
      </c>
      <c r="G833" s="5">
        <v>4.49</v>
      </c>
      <c r="H833" s="4">
        <v>0</v>
      </c>
    </row>
    <row r="834" spans="1:8" x14ac:dyDescent="0.2">
      <c r="A834" s="1" t="s">
        <v>52</v>
      </c>
      <c r="B834" s="4">
        <v>928</v>
      </c>
      <c r="C834" s="5">
        <v>100.00000000000001</v>
      </c>
      <c r="D834" s="4">
        <v>412</v>
      </c>
      <c r="E834" s="5">
        <v>99.99</v>
      </c>
      <c r="F834" s="4">
        <v>483</v>
      </c>
      <c r="G834" s="5">
        <v>100.00999999999999</v>
      </c>
      <c r="H834" s="4">
        <v>13</v>
      </c>
    </row>
    <row r="835" spans="1:8" x14ac:dyDescent="0.2">
      <c r="A835" s="2" t="s">
        <v>71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72</v>
      </c>
      <c r="B836" s="4">
        <v>142</v>
      </c>
      <c r="C836" s="5">
        <v>15.3</v>
      </c>
      <c r="D836" s="4">
        <v>28</v>
      </c>
      <c r="E836" s="5">
        <v>6.8</v>
      </c>
      <c r="F836" s="4">
        <v>113</v>
      </c>
      <c r="G836" s="5">
        <v>23.4</v>
      </c>
      <c r="H836" s="4">
        <v>1</v>
      </c>
    </row>
    <row r="837" spans="1:8" x14ac:dyDescent="0.2">
      <c r="A837" s="2" t="s">
        <v>73</v>
      </c>
      <c r="B837" s="4">
        <v>142</v>
      </c>
      <c r="C837" s="5">
        <v>15.3</v>
      </c>
      <c r="D837" s="4">
        <v>43</v>
      </c>
      <c r="E837" s="5">
        <v>10.44</v>
      </c>
      <c r="F837" s="4">
        <v>99</v>
      </c>
      <c r="G837" s="5">
        <v>20.5</v>
      </c>
      <c r="H837" s="4">
        <v>0</v>
      </c>
    </row>
    <row r="838" spans="1:8" x14ac:dyDescent="0.2">
      <c r="A838" s="2" t="s">
        <v>74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2">
      <c r="A839" s="2" t="s">
        <v>75</v>
      </c>
      <c r="B839" s="4">
        <v>2</v>
      </c>
      <c r="C839" s="5">
        <v>0.22</v>
      </c>
      <c r="D839" s="4">
        <v>0</v>
      </c>
      <c r="E839" s="5">
        <v>0</v>
      </c>
      <c r="F839" s="4">
        <v>2</v>
      </c>
      <c r="G839" s="5">
        <v>0.41</v>
      </c>
      <c r="H839" s="4">
        <v>0</v>
      </c>
    </row>
    <row r="840" spans="1:8" x14ac:dyDescent="0.2">
      <c r="A840" s="2" t="s">
        <v>76</v>
      </c>
      <c r="B840" s="4">
        <v>5</v>
      </c>
      <c r="C840" s="5">
        <v>0.54</v>
      </c>
      <c r="D840" s="4">
        <v>1</v>
      </c>
      <c r="E840" s="5">
        <v>0.24</v>
      </c>
      <c r="F840" s="4">
        <v>4</v>
      </c>
      <c r="G840" s="5">
        <v>0.83</v>
      </c>
      <c r="H840" s="4">
        <v>0</v>
      </c>
    </row>
    <row r="841" spans="1:8" x14ac:dyDescent="0.2">
      <c r="A841" s="2" t="s">
        <v>77</v>
      </c>
      <c r="B841" s="4">
        <v>138</v>
      </c>
      <c r="C841" s="5">
        <v>14.87</v>
      </c>
      <c r="D841" s="4">
        <v>49</v>
      </c>
      <c r="E841" s="5">
        <v>11.89</v>
      </c>
      <c r="F841" s="4">
        <v>89</v>
      </c>
      <c r="G841" s="5">
        <v>18.43</v>
      </c>
      <c r="H841" s="4">
        <v>0</v>
      </c>
    </row>
    <row r="842" spans="1:8" x14ac:dyDescent="0.2">
      <c r="A842" s="2" t="s">
        <v>78</v>
      </c>
      <c r="B842" s="4">
        <v>6</v>
      </c>
      <c r="C842" s="5">
        <v>0.65</v>
      </c>
      <c r="D842" s="4">
        <v>0</v>
      </c>
      <c r="E842" s="5">
        <v>0</v>
      </c>
      <c r="F842" s="4">
        <v>6</v>
      </c>
      <c r="G842" s="5">
        <v>1.24</v>
      </c>
      <c r="H842" s="4">
        <v>0</v>
      </c>
    </row>
    <row r="843" spans="1:8" x14ac:dyDescent="0.2">
      <c r="A843" s="2" t="s">
        <v>79</v>
      </c>
      <c r="B843" s="4">
        <v>132</v>
      </c>
      <c r="C843" s="5">
        <v>14.22</v>
      </c>
      <c r="D843" s="4">
        <v>71</v>
      </c>
      <c r="E843" s="5">
        <v>17.23</v>
      </c>
      <c r="F843" s="4">
        <v>61</v>
      </c>
      <c r="G843" s="5">
        <v>12.63</v>
      </c>
      <c r="H843" s="4">
        <v>0</v>
      </c>
    </row>
    <row r="844" spans="1:8" x14ac:dyDescent="0.2">
      <c r="A844" s="2" t="s">
        <v>80</v>
      </c>
      <c r="B844" s="4">
        <v>31</v>
      </c>
      <c r="C844" s="5">
        <v>3.34</v>
      </c>
      <c r="D844" s="4">
        <v>16</v>
      </c>
      <c r="E844" s="5">
        <v>3.88</v>
      </c>
      <c r="F844" s="4">
        <v>15</v>
      </c>
      <c r="G844" s="5">
        <v>3.11</v>
      </c>
      <c r="H844" s="4">
        <v>0</v>
      </c>
    </row>
    <row r="845" spans="1:8" x14ac:dyDescent="0.2">
      <c r="A845" s="2" t="s">
        <v>81</v>
      </c>
      <c r="B845" s="4">
        <v>81</v>
      </c>
      <c r="C845" s="5">
        <v>8.73</v>
      </c>
      <c r="D845" s="4">
        <v>58</v>
      </c>
      <c r="E845" s="5">
        <v>14.08</v>
      </c>
      <c r="F845" s="4">
        <v>23</v>
      </c>
      <c r="G845" s="5">
        <v>4.76</v>
      </c>
      <c r="H845" s="4">
        <v>0</v>
      </c>
    </row>
    <row r="846" spans="1:8" x14ac:dyDescent="0.2">
      <c r="A846" s="2" t="s">
        <v>82</v>
      </c>
      <c r="B846" s="4">
        <v>98</v>
      </c>
      <c r="C846" s="5">
        <v>10.56</v>
      </c>
      <c r="D846" s="4">
        <v>70</v>
      </c>
      <c r="E846" s="5">
        <v>16.989999999999998</v>
      </c>
      <c r="F846" s="4">
        <v>27</v>
      </c>
      <c r="G846" s="5">
        <v>5.59</v>
      </c>
      <c r="H846" s="4">
        <v>0</v>
      </c>
    </row>
    <row r="847" spans="1:8" x14ac:dyDescent="0.2">
      <c r="A847" s="2" t="s">
        <v>83</v>
      </c>
      <c r="B847" s="4">
        <v>42</v>
      </c>
      <c r="C847" s="5">
        <v>4.53</v>
      </c>
      <c r="D847" s="4">
        <v>30</v>
      </c>
      <c r="E847" s="5">
        <v>7.28</v>
      </c>
      <c r="F847" s="4">
        <v>11</v>
      </c>
      <c r="G847" s="5">
        <v>2.2799999999999998</v>
      </c>
      <c r="H847" s="4">
        <v>0</v>
      </c>
    </row>
    <row r="848" spans="1:8" x14ac:dyDescent="0.2">
      <c r="A848" s="2" t="s">
        <v>84</v>
      </c>
      <c r="B848" s="4">
        <v>70</v>
      </c>
      <c r="C848" s="5">
        <v>7.54</v>
      </c>
      <c r="D848" s="4">
        <v>34</v>
      </c>
      <c r="E848" s="5">
        <v>8.25</v>
      </c>
      <c r="F848" s="4">
        <v>9</v>
      </c>
      <c r="G848" s="5">
        <v>1.86</v>
      </c>
      <c r="H848" s="4">
        <v>11</v>
      </c>
    </row>
    <row r="849" spans="1:8" x14ac:dyDescent="0.2">
      <c r="A849" s="2" t="s">
        <v>85</v>
      </c>
      <c r="B849" s="4">
        <v>39</v>
      </c>
      <c r="C849" s="5">
        <v>4.2</v>
      </c>
      <c r="D849" s="4">
        <v>12</v>
      </c>
      <c r="E849" s="5">
        <v>2.91</v>
      </c>
      <c r="F849" s="4">
        <v>24</v>
      </c>
      <c r="G849" s="5">
        <v>4.97</v>
      </c>
      <c r="H849" s="4">
        <v>1</v>
      </c>
    </row>
    <row r="850" spans="1:8" x14ac:dyDescent="0.2">
      <c r="A850" s="1" t="s">
        <v>53</v>
      </c>
      <c r="B850" s="4">
        <v>1508</v>
      </c>
      <c r="C850" s="5">
        <v>99.999999999999986</v>
      </c>
      <c r="D850" s="4">
        <v>649</v>
      </c>
      <c r="E850" s="5">
        <v>100</v>
      </c>
      <c r="F850" s="4">
        <v>845</v>
      </c>
      <c r="G850" s="5">
        <v>100.01</v>
      </c>
      <c r="H850" s="4">
        <v>1</v>
      </c>
    </row>
    <row r="851" spans="1:8" x14ac:dyDescent="0.2">
      <c r="A851" s="2" t="s">
        <v>71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72</v>
      </c>
      <c r="B852" s="4">
        <v>290</v>
      </c>
      <c r="C852" s="5">
        <v>19.23</v>
      </c>
      <c r="D852" s="4">
        <v>42</v>
      </c>
      <c r="E852" s="5">
        <v>6.47</v>
      </c>
      <c r="F852" s="4">
        <v>248</v>
      </c>
      <c r="G852" s="5">
        <v>29.35</v>
      </c>
      <c r="H852" s="4">
        <v>0</v>
      </c>
    </row>
    <row r="853" spans="1:8" x14ac:dyDescent="0.2">
      <c r="A853" s="2" t="s">
        <v>73</v>
      </c>
      <c r="B853" s="4">
        <v>314</v>
      </c>
      <c r="C853" s="5">
        <v>20.82</v>
      </c>
      <c r="D853" s="4">
        <v>106</v>
      </c>
      <c r="E853" s="5">
        <v>16.329999999999998</v>
      </c>
      <c r="F853" s="4">
        <v>208</v>
      </c>
      <c r="G853" s="5">
        <v>24.62</v>
      </c>
      <c r="H853" s="4">
        <v>0</v>
      </c>
    </row>
    <row r="854" spans="1:8" x14ac:dyDescent="0.2">
      <c r="A854" s="2" t="s">
        <v>74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2">
      <c r="A855" s="2" t="s">
        <v>75</v>
      </c>
      <c r="B855" s="4">
        <v>10</v>
      </c>
      <c r="C855" s="5">
        <v>0.66</v>
      </c>
      <c r="D855" s="4">
        <v>0</v>
      </c>
      <c r="E855" s="5">
        <v>0</v>
      </c>
      <c r="F855" s="4">
        <v>10</v>
      </c>
      <c r="G855" s="5">
        <v>1.18</v>
      </c>
      <c r="H855" s="4">
        <v>0</v>
      </c>
    </row>
    <row r="856" spans="1:8" x14ac:dyDescent="0.2">
      <c r="A856" s="2" t="s">
        <v>76</v>
      </c>
      <c r="B856" s="4">
        <v>9</v>
      </c>
      <c r="C856" s="5">
        <v>0.6</v>
      </c>
      <c r="D856" s="4">
        <v>0</v>
      </c>
      <c r="E856" s="5">
        <v>0</v>
      </c>
      <c r="F856" s="4">
        <v>9</v>
      </c>
      <c r="G856" s="5">
        <v>1.07</v>
      </c>
      <c r="H856" s="4">
        <v>0</v>
      </c>
    </row>
    <row r="857" spans="1:8" x14ac:dyDescent="0.2">
      <c r="A857" s="2" t="s">
        <v>77</v>
      </c>
      <c r="B857" s="4">
        <v>277</v>
      </c>
      <c r="C857" s="5">
        <v>18.37</v>
      </c>
      <c r="D857" s="4">
        <v>119</v>
      </c>
      <c r="E857" s="5">
        <v>18.34</v>
      </c>
      <c r="F857" s="4">
        <v>158</v>
      </c>
      <c r="G857" s="5">
        <v>18.7</v>
      </c>
      <c r="H857" s="4">
        <v>0</v>
      </c>
    </row>
    <row r="858" spans="1:8" x14ac:dyDescent="0.2">
      <c r="A858" s="2" t="s">
        <v>78</v>
      </c>
      <c r="B858" s="4">
        <v>5</v>
      </c>
      <c r="C858" s="5">
        <v>0.33</v>
      </c>
      <c r="D858" s="4">
        <v>0</v>
      </c>
      <c r="E858" s="5">
        <v>0</v>
      </c>
      <c r="F858" s="4">
        <v>5</v>
      </c>
      <c r="G858" s="5">
        <v>0.59</v>
      </c>
      <c r="H858" s="4">
        <v>0</v>
      </c>
    </row>
    <row r="859" spans="1:8" x14ac:dyDescent="0.2">
      <c r="A859" s="2" t="s">
        <v>79</v>
      </c>
      <c r="B859" s="4">
        <v>133</v>
      </c>
      <c r="C859" s="5">
        <v>8.82</v>
      </c>
      <c r="D859" s="4">
        <v>64</v>
      </c>
      <c r="E859" s="5">
        <v>9.86</v>
      </c>
      <c r="F859" s="4">
        <v>69</v>
      </c>
      <c r="G859" s="5">
        <v>8.17</v>
      </c>
      <c r="H859" s="4">
        <v>0</v>
      </c>
    </row>
    <row r="860" spans="1:8" x14ac:dyDescent="0.2">
      <c r="A860" s="2" t="s">
        <v>80</v>
      </c>
      <c r="B860" s="4">
        <v>52</v>
      </c>
      <c r="C860" s="5">
        <v>3.45</v>
      </c>
      <c r="D860" s="4">
        <v>23</v>
      </c>
      <c r="E860" s="5">
        <v>3.54</v>
      </c>
      <c r="F860" s="4">
        <v>29</v>
      </c>
      <c r="G860" s="5">
        <v>3.43</v>
      </c>
      <c r="H860" s="4">
        <v>0</v>
      </c>
    </row>
    <row r="861" spans="1:8" x14ac:dyDescent="0.2">
      <c r="A861" s="2" t="s">
        <v>81</v>
      </c>
      <c r="B861" s="4">
        <v>102</v>
      </c>
      <c r="C861" s="5">
        <v>6.76</v>
      </c>
      <c r="D861" s="4">
        <v>84</v>
      </c>
      <c r="E861" s="5">
        <v>12.94</v>
      </c>
      <c r="F861" s="4">
        <v>18</v>
      </c>
      <c r="G861" s="5">
        <v>2.13</v>
      </c>
      <c r="H861" s="4">
        <v>0</v>
      </c>
    </row>
    <row r="862" spans="1:8" x14ac:dyDescent="0.2">
      <c r="A862" s="2" t="s">
        <v>82</v>
      </c>
      <c r="B862" s="4">
        <v>153</v>
      </c>
      <c r="C862" s="5">
        <v>10.15</v>
      </c>
      <c r="D862" s="4">
        <v>124</v>
      </c>
      <c r="E862" s="5">
        <v>19.11</v>
      </c>
      <c r="F862" s="4">
        <v>29</v>
      </c>
      <c r="G862" s="5">
        <v>3.43</v>
      </c>
      <c r="H862" s="4">
        <v>0</v>
      </c>
    </row>
    <row r="863" spans="1:8" x14ac:dyDescent="0.2">
      <c r="A863" s="2" t="s">
        <v>83</v>
      </c>
      <c r="B863" s="4">
        <v>50</v>
      </c>
      <c r="C863" s="5">
        <v>3.32</v>
      </c>
      <c r="D863" s="4">
        <v>34</v>
      </c>
      <c r="E863" s="5">
        <v>5.24</v>
      </c>
      <c r="F863" s="4">
        <v>14</v>
      </c>
      <c r="G863" s="5">
        <v>1.66</v>
      </c>
      <c r="H863" s="4">
        <v>0</v>
      </c>
    </row>
    <row r="864" spans="1:8" x14ac:dyDescent="0.2">
      <c r="A864" s="2" t="s">
        <v>84</v>
      </c>
      <c r="B864" s="4">
        <v>72</v>
      </c>
      <c r="C864" s="5">
        <v>4.7699999999999996</v>
      </c>
      <c r="D864" s="4">
        <v>38</v>
      </c>
      <c r="E864" s="5">
        <v>5.86</v>
      </c>
      <c r="F864" s="4">
        <v>23</v>
      </c>
      <c r="G864" s="5">
        <v>2.72</v>
      </c>
      <c r="H864" s="4">
        <v>0</v>
      </c>
    </row>
    <row r="865" spans="1:8" x14ac:dyDescent="0.2">
      <c r="A865" s="2" t="s">
        <v>85</v>
      </c>
      <c r="B865" s="4">
        <v>41</v>
      </c>
      <c r="C865" s="5">
        <v>2.72</v>
      </c>
      <c r="D865" s="4">
        <v>15</v>
      </c>
      <c r="E865" s="5">
        <v>2.31</v>
      </c>
      <c r="F865" s="4">
        <v>25</v>
      </c>
      <c r="G865" s="5">
        <v>2.96</v>
      </c>
      <c r="H865" s="4">
        <v>1</v>
      </c>
    </row>
    <row r="866" spans="1:8" x14ac:dyDescent="0.2">
      <c r="A866" s="1" t="s">
        <v>54</v>
      </c>
      <c r="B866" s="4">
        <v>947</v>
      </c>
      <c r="C866" s="5">
        <v>100.01000000000002</v>
      </c>
      <c r="D866" s="4">
        <v>352</v>
      </c>
      <c r="E866" s="5">
        <v>99.989999999999981</v>
      </c>
      <c r="F866" s="4">
        <v>592</v>
      </c>
      <c r="G866" s="5">
        <v>100.01</v>
      </c>
      <c r="H866" s="4">
        <v>1</v>
      </c>
    </row>
    <row r="867" spans="1:8" x14ac:dyDescent="0.2">
      <c r="A867" s="2" t="s">
        <v>71</v>
      </c>
      <c r="B867" s="4">
        <v>1</v>
      </c>
      <c r="C867" s="5">
        <v>0.11</v>
      </c>
      <c r="D867" s="4">
        <v>0</v>
      </c>
      <c r="E867" s="5">
        <v>0</v>
      </c>
      <c r="F867" s="4">
        <v>1</v>
      </c>
      <c r="G867" s="5">
        <v>0.17</v>
      </c>
      <c r="H867" s="4">
        <v>0</v>
      </c>
    </row>
    <row r="868" spans="1:8" x14ac:dyDescent="0.2">
      <c r="A868" s="2" t="s">
        <v>72</v>
      </c>
      <c r="B868" s="4">
        <v>146</v>
      </c>
      <c r="C868" s="5">
        <v>15.42</v>
      </c>
      <c r="D868" s="4">
        <v>20</v>
      </c>
      <c r="E868" s="5">
        <v>5.68</v>
      </c>
      <c r="F868" s="4">
        <v>126</v>
      </c>
      <c r="G868" s="5">
        <v>21.28</v>
      </c>
      <c r="H868" s="4">
        <v>0</v>
      </c>
    </row>
    <row r="869" spans="1:8" x14ac:dyDescent="0.2">
      <c r="A869" s="2" t="s">
        <v>73</v>
      </c>
      <c r="B869" s="4">
        <v>49</v>
      </c>
      <c r="C869" s="5">
        <v>5.17</v>
      </c>
      <c r="D869" s="4">
        <v>17</v>
      </c>
      <c r="E869" s="5">
        <v>4.83</v>
      </c>
      <c r="F869" s="4">
        <v>32</v>
      </c>
      <c r="G869" s="5">
        <v>5.41</v>
      </c>
      <c r="H869" s="4">
        <v>0</v>
      </c>
    </row>
    <row r="870" spans="1:8" x14ac:dyDescent="0.2">
      <c r="A870" s="2" t="s">
        <v>74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2">
      <c r="A871" s="2" t="s">
        <v>75</v>
      </c>
      <c r="B871" s="4">
        <v>9</v>
      </c>
      <c r="C871" s="5">
        <v>0.95</v>
      </c>
      <c r="D871" s="4">
        <v>0</v>
      </c>
      <c r="E871" s="5">
        <v>0</v>
      </c>
      <c r="F871" s="4">
        <v>9</v>
      </c>
      <c r="G871" s="5">
        <v>1.52</v>
      </c>
      <c r="H871" s="4">
        <v>0</v>
      </c>
    </row>
    <row r="872" spans="1:8" x14ac:dyDescent="0.2">
      <c r="A872" s="2" t="s">
        <v>76</v>
      </c>
      <c r="B872" s="4">
        <v>5</v>
      </c>
      <c r="C872" s="5">
        <v>0.53</v>
      </c>
      <c r="D872" s="4">
        <v>1</v>
      </c>
      <c r="E872" s="5">
        <v>0.28000000000000003</v>
      </c>
      <c r="F872" s="4">
        <v>4</v>
      </c>
      <c r="G872" s="5">
        <v>0.68</v>
      </c>
      <c r="H872" s="4">
        <v>0</v>
      </c>
    </row>
    <row r="873" spans="1:8" x14ac:dyDescent="0.2">
      <c r="A873" s="2" t="s">
        <v>77</v>
      </c>
      <c r="B873" s="4">
        <v>212</v>
      </c>
      <c r="C873" s="5">
        <v>22.39</v>
      </c>
      <c r="D873" s="4">
        <v>50</v>
      </c>
      <c r="E873" s="5">
        <v>14.2</v>
      </c>
      <c r="F873" s="4">
        <v>162</v>
      </c>
      <c r="G873" s="5">
        <v>27.36</v>
      </c>
      <c r="H873" s="4">
        <v>0</v>
      </c>
    </row>
    <row r="874" spans="1:8" x14ac:dyDescent="0.2">
      <c r="A874" s="2" t="s">
        <v>78</v>
      </c>
      <c r="B874" s="4">
        <v>5</v>
      </c>
      <c r="C874" s="5">
        <v>0.53</v>
      </c>
      <c r="D874" s="4">
        <v>1</v>
      </c>
      <c r="E874" s="5">
        <v>0.28000000000000003</v>
      </c>
      <c r="F874" s="4">
        <v>4</v>
      </c>
      <c r="G874" s="5">
        <v>0.68</v>
      </c>
      <c r="H874" s="4">
        <v>0</v>
      </c>
    </row>
    <row r="875" spans="1:8" x14ac:dyDescent="0.2">
      <c r="A875" s="2" t="s">
        <v>79</v>
      </c>
      <c r="B875" s="4">
        <v>139</v>
      </c>
      <c r="C875" s="5">
        <v>14.68</v>
      </c>
      <c r="D875" s="4">
        <v>50</v>
      </c>
      <c r="E875" s="5">
        <v>14.2</v>
      </c>
      <c r="F875" s="4">
        <v>89</v>
      </c>
      <c r="G875" s="5">
        <v>15.03</v>
      </c>
      <c r="H875" s="4">
        <v>0</v>
      </c>
    </row>
    <row r="876" spans="1:8" x14ac:dyDescent="0.2">
      <c r="A876" s="2" t="s">
        <v>80</v>
      </c>
      <c r="B876" s="4">
        <v>65</v>
      </c>
      <c r="C876" s="5">
        <v>6.86</v>
      </c>
      <c r="D876" s="4">
        <v>24</v>
      </c>
      <c r="E876" s="5">
        <v>6.82</v>
      </c>
      <c r="F876" s="4">
        <v>41</v>
      </c>
      <c r="G876" s="5">
        <v>6.93</v>
      </c>
      <c r="H876" s="4">
        <v>0</v>
      </c>
    </row>
    <row r="877" spans="1:8" x14ac:dyDescent="0.2">
      <c r="A877" s="2" t="s">
        <v>81</v>
      </c>
      <c r="B877" s="4">
        <v>67</v>
      </c>
      <c r="C877" s="5">
        <v>7.07</v>
      </c>
      <c r="D877" s="4">
        <v>41</v>
      </c>
      <c r="E877" s="5">
        <v>11.65</v>
      </c>
      <c r="F877" s="4">
        <v>25</v>
      </c>
      <c r="G877" s="5">
        <v>4.22</v>
      </c>
      <c r="H877" s="4">
        <v>1</v>
      </c>
    </row>
    <row r="878" spans="1:8" x14ac:dyDescent="0.2">
      <c r="A878" s="2" t="s">
        <v>82</v>
      </c>
      <c r="B878" s="4">
        <v>105</v>
      </c>
      <c r="C878" s="5">
        <v>11.09</v>
      </c>
      <c r="D878" s="4">
        <v>68</v>
      </c>
      <c r="E878" s="5">
        <v>19.32</v>
      </c>
      <c r="F878" s="4">
        <v>36</v>
      </c>
      <c r="G878" s="5">
        <v>6.08</v>
      </c>
      <c r="H878" s="4">
        <v>0</v>
      </c>
    </row>
    <row r="879" spans="1:8" x14ac:dyDescent="0.2">
      <c r="A879" s="2" t="s">
        <v>83</v>
      </c>
      <c r="B879" s="4">
        <v>69</v>
      </c>
      <c r="C879" s="5">
        <v>7.29</v>
      </c>
      <c r="D879" s="4">
        <v>46</v>
      </c>
      <c r="E879" s="5">
        <v>13.07</v>
      </c>
      <c r="F879" s="4">
        <v>23</v>
      </c>
      <c r="G879" s="5">
        <v>3.89</v>
      </c>
      <c r="H879" s="4">
        <v>0</v>
      </c>
    </row>
    <row r="880" spans="1:8" x14ac:dyDescent="0.2">
      <c r="A880" s="2" t="s">
        <v>84</v>
      </c>
      <c r="B880" s="4">
        <v>37</v>
      </c>
      <c r="C880" s="5">
        <v>3.91</v>
      </c>
      <c r="D880" s="4">
        <v>23</v>
      </c>
      <c r="E880" s="5">
        <v>6.53</v>
      </c>
      <c r="F880" s="4">
        <v>13</v>
      </c>
      <c r="G880" s="5">
        <v>2.2000000000000002</v>
      </c>
      <c r="H880" s="4">
        <v>0</v>
      </c>
    </row>
    <row r="881" spans="1:8" x14ac:dyDescent="0.2">
      <c r="A881" s="2" t="s">
        <v>85</v>
      </c>
      <c r="B881" s="4">
        <v>38</v>
      </c>
      <c r="C881" s="5">
        <v>4.01</v>
      </c>
      <c r="D881" s="4">
        <v>11</v>
      </c>
      <c r="E881" s="5">
        <v>3.13</v>
      </c>
      <c r="F881" s="4">
        <v>27</v>
      </c>
      <c r="G881" s="5">
        <v>4.5599999999999996</v>
      </c>
      <c r="H881" s="4">
        <v>0</v>
      </c>
    </row>
    <row r="882" spans="1:8" x14ac:dyDescent="0.2">
      <c r="A882" s="1" t="s">
        <v>55</v>
      </c>
      <c r="B882" s="4">
        <v>754</v>
      </c>
      <c r="C882" s="5">
        <v>99.999999999999986</v>
      </c>
      <c r="D882" s="4">
        <v>321</v>
      </c>
      <c r="E882" s="5">
        <v>99.99</v>
      </c>
      <c r="F882" s="4">
        <v>432</v>
      </c>
      <c r="G882" s="5">
        <v>100.00999999999999</v>
      </c>
      <c r="H882" s="4">
        <v>0</v>
      </c>
    </row>
    <row r="883" spans="1:8" x14ac:dyDescent="0.2">
      <c r="A883" s="2" t="s">
        <v>71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2">
      <c r="A884" s="2" t="s">
        <v>72</v>
      </c>
      <c r="B884" s="4">
        <v>131</v>
      </c>
      <c r="C884" s="5">
        <v>17.37</v>
      </c>
      <c r="D884" s="4">
        <v>28</v>
      </c>
      <c r="E884" s="5">
        <v>8.7200000000000006</v>
      </c>
      <c r="F884" s="4">
        <v>103</v>
      </c>
      <c r="G884" s="5">
        <v>23.84</v>
      </c>
      <c r="H884" s="4">
        <v>0</v>
      </c>
    </row>
    <row r="885" spans="1:8" x14ac:dyDescent="0.2">
      <c r="A885" s="2" t="s">
        <v>73</v>
      </c>
      <c r="B885" s="4">
        <v>106</v>
      </c>
      <c r="C885" s="5">
        <v>14.06</v>
      </c>
      <c r="D885" s="4">
        <v>25</v>
      </c>
      <c r="E885" s="5">
        <v>7.79</v>
      </c>
      <c r="F885" s="4">
        <v>81</v>
      </c>
      <c r="G885" s="5">
        <v>18.75</v>
      </c>
      <c r="H885" s="4">
        <v>0</v>
      </c>
    </row>
    <row r="886" spans="1:8" x14ac:dyDescent="0.2">
      <c r="A886" s="2" t="s">
        <v>74</v>
      </c>
      <c r="B886" s="4">
        <v>1</v>
      </c>
      <c r="C886" s="5">
        <v>0.13</v>
      </c>
      <c r="D886" s="4">
        <v>0</v>
      </c>
      <c r="E886" s="5">
        <v>0</v>
      </c>
      <c r="F886" s="4">
        <v>1</v>
      </c>
      <c r="G886" s="5">
        <v>0.23</v>
      </c>
      <c r="H886" s="4">
        <v>0</v>
      </c>
    </row>
    <row r="887" spans="1:8" x14ac:dyDescent="0.2">
      <c r="A887" s="2" t="s">
        <v>75</v>
      </c>
      <c r="B887" s="4">
        <v>7</v>
      </c>
      <c r="C887" s="5">
        <v>0.93</v>
      </c>
      <c r="D887" s="4">
        <v>1</v>
      </c>
      <c r="E887" s="5">
        <v>0.31</v>
      </c>
      <c r="F887" s="4">
        <v>6</v>
      </c>
      <c r="G887" s="5">
        <v>1.39</v>
      </c>
      <c r="H887" s="4">
        <v>0</v>
      </c>
    </row>
    <row r="888" spans="1:8" x14ac:dyDescent="0.2">
      <c r="A888" s="2" t="s">
        <v>76</v>
      </c>
      <c r="B888" s="4">
        <v>4</v>
      </c>
      <c r="C888" s="5">
        <v>0.53</v>
      </c>
      <c r="D888" s="4">
        <v>0</v>
      </c>
      <c r="E888" s="5">
        <v>0</v>
      </c>
      <c r="F888" s="4">
        <v>4</v>
      </c>
      <c r="G888" s="5">
        <v>0.93</v>
      </c>
      <c r="H888" s="4">
        <v>0</v>
      </c>
    </row>
    <row r="889" spans="1:8" x14ac:dyDescent="0.2">
      <c r="A889" s="2" t="s">
        <v>77</v>
      </c>
      <c r="B889" s="4">
        <v>171</v>
      </c>
      <c r="C889" s="5">
        <v>22.68</v>
      </c>
      <c r="D889" s="4">
        <v>65</v>
      </c>
      <c r="E889" s="5">
        <v>20.25</v>
      </c>
      <c r="F889" s="4">
        <v>106</v>
      </c>
      <c r="G889" s="5">
        <v>24.54</v>
      </c>
      <c r="H889" s="4">
        <v>0</v>
      </c>
    </row>
    <row r="890" spans="1:8" x14ac:dyDescent="0.2">
      <c r="A890" s="2" t="s">
        <v>78</v>
      </c>
      <c r="B890" s="4">
        <v>5</v>
      </c>
      <c r="C890" s="5">
        <v>0.66</v>
      </c>
      <c r="D890" s="4">
        <v>1</v>
      </c>
      <c r="E890" s="5">
        <v>0.31</v>
      </c>
      <c r="F890" s="4">
        <v>4</v>
      </c>
      <c r="G890" s="5">
        <v>0.93</v>
      </c>
      <c r="H890" s="4">
        <v>0</v>
      </c>
    </row>
    <row r="891" spans="1:8" x14ac:dyDescent="0.2">
      <c r="A891" s="2" t="s">
        <v>79</v>
      </c>
      <c r="B891" s="4">
        <v>37</v>
      </c>
      <c r="C891" s="5">
        <v>4.91</v>
      </c>
      <c r="D891" s="4">
        <v>3</v>
      </c>
      <c r="E891" s="5">
        <v>0.93</v>
      </c>
      <c r="F891" s="4">
        <v>34</v>
      </c>
      <c r="G891" s="5">
        <v>7.87</v>
      </c>
      <c r="H891" s="4">
        <v>0</v>
      </c>
    </row>
    <row r="892" spans="1:8" x14ac:dyDescent="0.2">
      <c r="A892" s="2" t="s">
        <v>80</v>
      </c>
      <c r="B892" s="4">
        <v>37</v>
      </c>
      <c r="C892" s="5">
        <v>4.91</v>
      </c>
      <c r="D892" s="4">
        <v>23</v>
      </c>
      <c r="E892" s="5">
        <v>7.17</v>
      </c>
      <c r="F892" s="4">
        <v>14</v>
      </c>
      <c r="G892" s="5">
        <v>3.24</v>
      </c>
      <c r="H892" s="4">
        <v>0</v>
      </c>
    </row>
    <row r="893" spans="1:8" x14ac:dyDescent="0.2">
      <c r="A893" s="2" t="s">
        <v>81</v>
      </c>
      <c r="B893" s="4">
        <v>61</v>
      </c>
      <c r="C893" s="5">
        <v>8.09</v>
      </c>
      <c r="D893" s="4">
        <v>41</v>
      </c>
      <c r="E893" s="5">
        <v>12.77</v>
      </c>
      <c r="F893" s="4">
        <v>20</v>
      </c>
      <c r="G893" s="5">
        <v>4.63</v>
      </c>
      <c r="H893" s="4">
        <v>0</v>
      </c>
    </row>
    <row r="894" spans="1:8" x14ac:dyDescent="0.2">
      <c r="A894" s="2" t="s">
        <v>82</v>
      </c>
      <c r="B894" s="4">
        <v>73</v>
      </c>
      <c r="C894" s="5">
        <v>9.68</v>
      </c>
      <c r="D894" s="4">
        <v>62</v>
      </c>
      <c r="E894" s="5">
        <v>19.309999999999999</v>
      </c>
      <c r="F894" s="4">
        <v>11</v>
      </c>
      <c r="G894" s="5">
        <v>2.5499999999999998</v>
      </c>
      <c r="H894" s="4">
        <v>0</v>
      </c>
    </row>
    <row r="895" spans="1:8" x14ac:dyDescent="0.2">
      <c r="A895" s="2" t="s">
        <v>83</v>
      </c>
      <c r="B895" s="4">
        <v>45</v>
      </c>
      <c r="C895" s="5">
        <v>5.97</v>
      </c>
      <c r="D895" s="4">
        <v>31</v>
      </c>
      <c r="E895" s="5">
        <v>9.66</v>
      </c>
      <c r="F895" s="4">
        <v>14</v>
      </c>
      <c r="G895" s="5">
        <v>3.24</v>
      </c>
      <c r="H895" s="4">
        <v>0</v>
      </c>
    </row>
    <row r="896" spans="1:8" x14ac:dyDescent="0.2">
      <c r="A896" s="2" t="s">
        <v>84</v>
      </c>
      <c r="B896" s="4">
        <v>35</v>
      </c>
      <c r="C896" s="5">
        <v>4.6399999999999997</v>
      </c>
      <c r="D896" s="4">
        <v>27</v>
      </c>
      <c r="E896" s="5">
        <v>8.41</v>
      </c>
      <c r="F896" s="4">
        <v>8</v>
      </c>
      <c r="G896" s="5">
        <v>1.85</v>
      </c>
      <c r="H896" s="4">
        <v>0</v>
      </c>
    </row>
    <row r="897" spans="1:8" x14ac:dyDescent="0.2">
      <c r="A897" s="2" t="s">
        <v>85</v>
      </c>
      <c r="B897" s="4">
        <v>41</v>
      </c>
      <c r="C897" s="5">
        <v>5.44</v>
      </c>
      <c r="D897" s="4">
        <v>14</v>
      </c>
      <c r="E897" s="5">
        <v>4.3600000000000003</v>
      </c>
      <c r="F897" s="4">
        <v>26</v>
      </c>
      <c r="G897" s="5">
        <v>6.02</v>
      </c>
      <c r="H897" s="4">
        <v>0</v>
      </c>
    </row>
    <row r="898" spans="1:8" x14ac:dyDescent="0.2">
      <c r="A898" s="1" t="s">
        <v>56</v>
      </c>
      <c r="B898" s="4">
        <v>394</v>
      </c>
      <c r="C898" s="5">
        <v>100.00000000000001</v>
      </c>
      <c r="D898" s="4">
        <v>163</v>
      </c>
      <c r="E898" s="5">
        <v>100</v>
      </c>
      <c r="F898" s="4">
        <v>230</v>
      </c>
      <c r="G898" s="5">
        <v>99.990000000000009</v>
      </c>
      <c r="H898" s="4">
        <v>0</v>
      </c>
    </row>
    <row r="899" spans="1:8" x14ac:dyDescent="0.2">
      <c r="A899" s="2" t="s">
        <v>71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2">
      <c r="A900" s="2" t="s">
        <v>72</v>
      </c>
      <c r="B900" s="4">
        <v>43</v>
      </c>
      <c r="C900" s="5">
        <v>10.91</v>
      </c>
      <c r="D900" s="4">
        <v>12</v>
      </c>
      <c r="E900" s="5">
        <v>7.36</v>
      </c>
      <c r="F900" s="4">
        <v>31</v>
      </c>
      <c r="G900" s="5">
        <v>13.48</v>
      </c>
      <c r="H900" s="4">
        <v>0</v>
      </c>
    </row>
    <row r="901" spans="1:8" x14ac:dyDescent="0.2">
      <c r="A901" s="2" t="s">
        <v>73</v>
      </c>
      <c r="B901" s="4">
        <v>54</v>
      </c>
      <c r="C901" s="5">
        <v>13.71</v>
      </c>
      <c r="D901" s="4">
        <v>18</v>
      </c>
      <c r="E901" s="5">
        <v>11.04</v>
      </c>
      <c r="F901" s="4">
        <v>36</v>
      </c>
      <c r="G901" s="5">
        <v>15.65</v>
      </c>
      <c r="H901" s="4">
        <v>0</v>
      </c>
    </row>
    <row r="902" spans="1:8" x14ac:dyDescent="0.2">
      <c r="A902" s="2" t="s">
        <v>74</v>
      </c>
      <c r="B902" s="4">
        <v>1</v>
      </c>
      <c r="C902" s="5">
        <v>0.25</v>
      </c>
      <c r="D902" s="4">
        <v>0</v>
      </c>
      <c r="E902" s="5">
        <v>0</v>
      </c>
      <c r="F902" s="4">
        <v>1</v>
      </c>
      <c r="G902" s="5">
        <v>0.43</v>
      </c>
      <c r="H902" s="4">
        <v>0</v>
      </c>
    </row>
    <row r="903" spans="1:8" x14ac:dyDescent="0.2">
      <c r="A903" s="2" t="s">
        <v>75</v>
      </c>
      <c r="B903" s="4">
        <v>2</v>
      </c>
      <c r="C903" s="5">
        <v>0.51</v>
      </c>
      <c r="D903" s="4">
        <v>0</v>
      </c>
      <c r="E903" s="5">
        <v>0</v>
      </c>
      <c r="F903" s="4">
        <v>2</v>
      </c>
      <c r="G903" s="5">
        <v>0.87</v>
      </c>
      <c r="H903" s="4">
        <v>0</v>
      </c>
    </row>
    <row r="904" spans="1:8" x14ac:dyDescent="0.2">
      <c r="A904" s="2" t="s">
        <v>76</v>
      </c>
      <c r="B904" s="4">
        <v>7</v>
      </c>
      <c r="C904" s="5">
        <v>1.78</v>
      </c>
      <c r="D904" s="4">
        <v>0</v>
      </c>
      <c r="E904" s="5">
        <v>0</v>
      </c>
      <c r="F904" s="4">
        <v>7</v>
      </c>
      <c r="G904" s="5">
        <v>3.04</v>
      </c>
      <c r="H904" s="4">
        <v>0</v>
      </c>
    </row>
    <row r="905" spans="1:8" x14ac:dyDescent="0.2">
      <c r="A905" s="2" t="s">
        <v>77</v>
      </c>
      <c r="B905" s="4">
        <v>102</v>
      </c>
      <c r="C905" s="5">
        <v>25.89</v>
      </c>
      <c r="D905" s="4">
        <v>23</v>
      </c>
      <c r="E905" s="5">
        <v>14.11</v>
      </c>
      <c r="F905" s="4">
        <v>79</v>
      </c>
      <c r="G905" s="5">
        <v>34.35</v>
      </c>
      <c r="H905" s="4">
        <v>0</v>
      </c>
    </row>
    <row r="906" spans="1:8" x14ac:dyDescent="0.2">
      <c r="A906" s="2" t="s">
        <v>78</v>
      </c>
      <c r="B906" s="4">
        <v>3</v>
      </c>
      <c r="C906" s="5">
        <v>0.76</v>
      </c>
      <c r="D906" s="4">
        <v>0</v>
      </c>
      <c r="E906" s="5">
        <v>0</v>
      </c>
      <c r="F906" s="4">
        <v>3</v>
      </c>
      <c r="G906" s="5">
        <v>1.3</v>
      </c>
      <c r="H906" s="4">
        <v>0</v>
      </c>
    </row>
    <row r="907" spans="1:8" x14ac:dyDescent="0.2">
      <c r="A907" s="2" t="s">
        <v>79</v>
      </c>
      <c r="B907" s="4">
        <v>54</v>
      </c>
      <c r="C907" s="5">
        <v>13.71</v>
      </c>
      <c r="D907" s="4">
        <v>35</v>
      </c>
      <c r="E907" s="5">
        <v>21.47</v>
      </c>
      <c r="F907" s="4">
        <v>19</v>
      </c>
      <c r="G907" s="5">
        <v>8.26</v>
      </c>
      <c r="H907" s="4">
        <v>0</v>
      </c>
    </row>
    <row r="908" spans="1:8" x14ac:dyDescent="0.2">
      <c r="A908" s="2" t="s">
        <v>80</v>
      </c>
      <c r="B908" s="4">
        <v>20</v>
      </c>
      <c r="C908" s="5">
        <v>5.08</v>
      </c>
      <c r="D908" s="4">
        <v>11</v>
      </c>
      <c r="E908" s="5">
        <v>6.75</v>
      </c>
      <c r="F908" s="4">
        <v>9</v>
      </c>
      <c r="G908" s="5">
        <v>3.91</v>
      </c>
      <c r="H908" s="4">
        <v>0</v>
      </c>
    </row>
    <row r="909" spans="1:8" x14ac:dyDescent="0.2">
      <c r="A909" s="2" t="s">
        <v>81</v>
      </c>
      <c r="B909" s="4">
        <v>38</v>
      </c>
      <c r="C909" s="5">
        <v>9.64</v>
      </c>
      <c r="D909" s="4">
        <v>25</v>
      </c>
      <c r="E909" s="5">
        <v>15.34</v>
      </c>
      <c r="F909" s="4">
        <v>13</v>
      </c>
      <c r="G909" s="5">
        <v>5.65</v>
      </c>
      <c r="H909" s="4">
        <v>0</v>
      </c>
    </row>
    <row r="910" spans="1:8" x14ac:dyDescent="0.2">
      <c r="A910" s="2" t="s">
        <v>82</v>
      </c>
      <c r="B910" s="4">
        <v>34</v>
      </c>
      <c r="C910" s="5">
        <v>8.6300000000000008</v>
      </c>
      <c r="D910" s="4">
        <v>22</v>
      </c>
      <c r="E910" s="5">
        <v>13.5</v>
      </c>
      <c r="F910" s="4">
        <v>12</v>
      </c>
      <c r="G910" s="5">
        <v>5.22</v>
      </c>
      <c r="H910" s="4">
        <v>0</v>
      </c>
    </row>
    <row r="911" spans="1:8" x14ac:dyDescent="0.2">
      <c r="A911" s="2" t="s">
        <v>83</v>
      </c>
      <c r="B911" s="4">
        <v>9</v>
      </c>
      <c r="C911" s="5">
        <v>2.2799999999999998</v>
      </c>
      <c r="D911" s="4">
        <v>6</v>
      </c>
      <c r="E911" s="5">
        <v>3.68</v>
      </c>
      <c r="F911" s="4">
        <v>2</v>
      </c>
      <c r="G911" s="5">
        <v>0.87</v>
      </c>
      <c r="H911" s="4">
        <v>0</v>
      </c>
    </row>
    <row r="912" spans="1:8" x14ac:dyDescent="0.2">
      <c r="A912" s="2" t="s">
        <v>84</v>
      </c>
      <c r="B912" s="4">
        <v>10</v>
      </c>
      <c r="C912" s="5">
        <v>2.54</v>
      </c>
      <c r="D912" s="4">
        <v>6</v>
      </c>
      <c r="E912" s="5">
        <v>3.68</v>
      </c>
      <c r="F912" s="4">
        <v>4</v>
      </c>
      <c r="G912" s="5">
        <v>1.74</v>
      </c>
      <c r="H912" s="4">
        <v>0</v>
      </c>
    </row>
    <row r="913" spans="1:8" x14ac:dyDescent="0.2">
      <c r="A913" s="2" t="s">
        <v>85</v>
      </c>
      <c r="B913" s="4">
        <v>17</v>
      </c>
      <c r="C913" s="5">
        <v>4.3099999999999996</v>
      </c>
      <c r="D913" s="4">
        <v>5</v>
      </c>
      <c r="E913" s="5">
        <v>3.07</v>
      </c>
      <c r="F913" s="4">
        <v>12</v>
      </c>
      <c r="G913" s="5">
        <v>5.22</v>
      </c>
      <c r="H913" s="4">
        <v>0</v>
      </c>
    </row>
    <row r="914" spans="1:8" x14ac:dyDescent="0.2">
      <c r="A914" s="1" t="s">
        <v>57</v>
      </c>
      <c r="B914" s="4">
        <v>421</v>
      </c>
      <c r="C914" s="5">
        <v>100.02</v>
      </c>
      <c r="D914" s="4">
        <v>164</v>
      </c>
      <c r="E914" s="5">
        <v>100</v>
      </c>
      <c r="F914" s="4">
        <v>252</v>
      </c>
      <c r="G914" s="5">
        <v>100</v>
      </c>
      <c r="H914" s="4">
        <v>1</v>
      </c>
    </row>
    <row r="915" spans="1:8" x14ac:dyDescent="0.2">
      <c r="A915" s="2" t="s">
        <v>71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72</v>
      </c>
      <c r="B916" s="4">
        <v>64</v>
      </c>
      <c r="C916" s="5">
        <v>15.2</v>
      </c>
      <c r="D916" s="4">
        <v>15</v>
      </c>
      <c r="E916" s="5">
        <v>9.15</v>
      </c>
      <c r="F916" s="4">
        <v>49</v>
      </c>
      <c r="G916" s="5">
        <v>19.440000000000001</v>
      </c>
      <c r="H916" s="4">
        <v>0</v>
      </c>
    </row>
    <row r="917" spans="1:8" x14ac:dyDescent="0.2">
      <c r="A917" s="2" t="s">
        <v>73</v>
      </c>
      <c r="B917" s="4">
        <v>88</v>
      </c>
      <c r="C917" s="5">
        <v>20.9</v>
      </c>
      <c r="D917" s="4">
        <v>21</v>
      </c>
      <c r="E917" s="5">
        <v>12.8</v>
      </c>
      <c r="F917" s="4">
        <v>67</v>
      </c>
      <c r="G917" s="5">
        <v>26.59</v>
      </c>
      <c r="H917" s="4">
        <v>0</v>
      </c>
    </row>
    <row r="918" spans="1:8" x14ac:dyDescent="0.2">
      <c r="A918" s="2" t="s">
        <v>74</v>
      </c>
      <c r="B918" s="4">
        <v>1</v>
      </c>
      <c r="C918" s="5">
        <v>0.24</v>
      </c>
      <c r="D918" s="4">
        <v>0</v>
      </c>
      <c r="E918" s="5">
        <v>0</v>
      </c>
      <c r="F918" s="4">
        <v>1</v>
      </c>
      <c r="G918" s="5">
        <v>0.4</v>
      </c>
      <c r="H918" s="4">
        <v>0</v>
      </c>
    </row>
    <row r="919" spans="1:8" x14ac:dyDescent="0.2">
      <c r="A919" s="2" t="s">
        <v>75</v>
      </c>
      <c r="B919" s="4">
        <v>1</v>
      </c>
      <c r="C919" s="5">
        <v>0.24</v>
      </c>
      <c r="D919" s="4">
        <v>0</v>
      </c>
      <c r="E919" s="5">
        <v>0</v>
      </c>
      <c r="F919" s="4">
        <v>1</v>
      </c>
      <c r="G919" s="5">
        <v>0.4</v>
      </c>
      <c r="H919" s="4">
        <v>0</v>
      </c>
    </row>
    <row r="920" spans="1:8" x14ac:dyDescent="0.2">
      <c r="A920" s="2" t="s">
        <v>76</v>
      </c>
      <c r="B920" s="4">
        <v>10</v>
      </c>
      <c r="C920" s="5">
        <v>2.38</v>
      </c>
      <c r="D920" s="4">
        <v>0</v>
      </c>
      <c r="E920" s="5">
        <v>0</v>
      </c>
      <c r="F920" s="4">
        <v>10</v>
      </c>
      <c r="G920" s="5">
        <v>3.97</v>
      </c>
      <c r="H920" s="4">
        <v>0</v>
      </c>
    </row>
    <row r="921" spans="1:8" x14ac:dyDescent="0.2">
      <c r="A921" s="2" t="s">
        <v>77</v>
      </c>
      <c r="B921" s="4">
        <v>89</v>
      </c>
      <c r="C921" s="5">
        <v>21.14</v>
      </c>
      <c r="D921" s="4">
        <v>25</v>
      </c>
      <c r="E921" s="5">
        <v>15.24</v>
      </c>
      <c r="F921" s="4">
        <v>64</v>
      </c>
      <c r="G921" s="5">
        <v>25.4</v>
      </c>
      <c r="H921" s="4">
        <v>0</v>
      </c>
    </row>
    <row r="922" spans="1:8" x14ac:dyDescent="0.2">
      <c r="A922" s="2" t="s">
        <v>78</v>
      </c>
      <c r="B922" s="4">
        <v>3</v>
      </c>
      <c r="C922" s="5">
        <v>0.71</v>
      </c>
      <c r="D922" s="4">
        <v>0</v>
      </c>
      <c r="E922" s="5">
        <v>0</v>
      </c>
      <c r="F922" s="4">
        <v>3</v>
      </c>
      <c r="G922" s="5">
        <v>1.19</v>
      </c>
      <c r="H922" s="4">
        <v>0</v>
      </c>
    </row>
    <row r="923" spans="1:8" x14ac:dyDescent="0.2">
      <c r="A923" s="2" t="s">
        <v>79</v>
      </c>
      <c r="B923" s="4">
        <v>16</v>
      </c>
      <c r="C923" s="5">
        <v>3.8</v>
      </c>
      <c r="D923" s="4">
        <v>3</v>
      </c>
      <c r="E923" s="5">
        <v>1.83</v>
      </c>
      <c r="F923" s="4">
        <v>13</v>
      </c>
      <c r="G923" s="5">
        <v>5.16</v>
      </c>
      <c r="H923" s="4">
        <v>0</v>
      </c>
    </row>
    <row r="924" spans="1:8" x14ac:dyDescent="0.2">
      <c r="A924" s="2" t="s">
        <v>80</v>
      </c>
      <c r="B924" s="4">
        <v>14</v>
      </c>
      <c r="C924" s="5">
        <v>3.33</v>
      </c>
      <c r="D924" s="4">
        <v>9</v>
      </c>
      <c r="E924" s="5">
        <v>5.49</v>
      </c>
      <c r="F924" s="4">
        <v>5</v>
      </c>
      <c r="G924" s="5">
        <v>1.98</v>
      </c>
      <c r="H924" s="4">
        <v>0</v>
      </c>
    </row>
    <row r="925" spans="1:8" x14ac:dyDescent="0.2">
      <c r="A925" s="2" t="s">
        <v>81</v>
      </c>
      <c r="B925" s="4">
        <v>34</v>
      </c>
      <c r="C925" s="5">
        <v>8.08</v>
      </c>
      <c r="D925" s="4">
        <v>28</v>
      </c>
      <c r="E925" s="5">
        <v>17.07</v>
      </c>
      <c r="F925" s="4">
        <v>5</v>
      </c>
      <c r="G925" s="5">
        <v>1.98</v>
      </c>
      <c r="H925" s="4">
        <v>1</v>
      </c>
    </row>
    <row r="926" spans="1:8" x14ac:dyDescent="0.2">
      <c r="A926" s="2" t="s">
        <v>82</v>
      </c>
      <c r="B926" s="4">
        <v>37</v>
      </c>
      <c r="C926" s="5">
        <v>8.7899999999999991</v>
      </c>
      <c r="D926" s="4">
        <v>29</v>
      </c>
      <c r="E926" s="5">
        <v>17.68</v>
      </c>
      <c r="F926" s="4">
        <v>8</v>
      </c>
      <c r="G926" s="5">
        <v>3.17</v>
      </c>
      <c r="H926" s="4">
        <v>0</v>
      </c>
    </row>
    <row r="927" spans="1:8" x14ac:dyDescent="0.2">
      <c r="A927" s="2" t="s">
        <v>83</v>
      </c>
      <c r="B927" s="4">
        <v>21</v>
      </c>
      <c r="C927" s="5">
        <v>4.99</v>
      </c>
      <c r="D927" s="4">
        <v>15</v>
      </c>
      <c r="E927" s="5">
        <v>9.15</v>
      </c>
      <c r="F927" s="4">
        <v>5</v>
      </c>
      <c r="G927" s="5">
        <v>1.98</v>
      </c>
      <c r="H927" s="4">
        <v>0</v>
      </c>
    </row>
    <row r="928" spans="1:8" x14ac:dyDescent="0.2">
      <c r="A928" s="2" t="s">
        <v>84</v>
      </c>
      <c r="B928" s="4">
        <v>22</v>
      </c>
      <c r="C928" s="5">
        <v>5.23</v>
      </c>
      <c r="D928" s="4">
        <v>9</v>
      </c>
      <c r="E928" s="5">
        <v>5.49</v>
      </c>
      <c r="F928" s="4">
        <v>10</v>
      </c>
      <c r="G928" s="5">
        <v>3.97</v>
      </c>
      <c r="H928" s="4">
        <v>0</v>
      </c>
    </row>
    <row r="929" spans="1:8" x14ac:dyDescent="0.2">
      <c r="A929" s="2" t="s">
        <v>85</v>
      </c>
      <c r="B929" s="4">
        <v>21</v>
      </c>
      <c r="C929" s="5">
        <v>4.99</v>
      </c>
      <c r="D929" s="4">
        <v>10</v>
      </c>
      <c r="E929" s="5">
        <v>6.1</v>
      </c>
      <c r="F929" s="4">
        <v>11</v>
      </c>
      <c r="G929" s="5">
        <v>4.37</v>
      </c>
      <c r="H929" s="4">
        <v>0</v>
      </c>
    </row>
    <row r="930" spans="1:8" x14ac:dyDescent="0.2">
      <c r="A930" s="1" t="s">
        <v>58</v>
      </c>
      <c r="B930" s="4">
        <v>578</v>
      </c>
      <c r="C930" s="5">
        <v>100.00999999999999</v>
      </c>
      <c r="D930" s="4">
        <v>350</v>
      </c>
      <c r="E930" s="5">
        <v>100.02000000000001</v>
      </c>
      <c r="F930" s="4">
        <v>219</v>
      </c>
      <c r="G930" s="5">
        <v>100.00999999999999</v>
      </c>
      <c r="H930" s="4">
        <v>0</v>
      </c>
    </row>
    <row r="931" spans="1:8" x14ac:dyDescent="0.2">
      <c r="A931" s="2" t="s">
        <v>71</v>
      </c>
      <c r="B931" s="4">
        <v>1</v>
      </c>
      <c r="C931" s="5">
        <v>0.17</v>
      </c>
      <c r="D931" s="4">
        <v>0</v>
      </c>
      <c r="E931" s="5">
        <v>0</v>
      </c>
      <c r="F931" s="4">
        <v>1</v>
      </c>
      <c r="G931" s="5">
        <v>0.46</v>
      </c>
      <c r="H931" s="4">
        <v>0</v>
      </c>
    </row>
    <row r="932" spans="1:8" x14ac:dyDescent="0.2">
      <c r="A932" s="2" t="s">
        <v>72</v>
      </c>
      <c r="B932" s="4">
        <v>50</v>
      </c>
      <c r="C932" s="5">
        <v>8.65</v>
      </c>
      <c r="D932" s="4">
        <v>15</v>
      </c>
      <c r="E932" s="5">
        <v>4.29</v>
      </c>
      <c r="F932" s="4">
        <v>35</v>
      </c>
      <c r="G932" s="5">
        <v>15.98</v>
      </c>
      <c r="H932" s="4">
        <v>0</v>
      </c>
    </row>
    <row r="933" spans="1:8" x14ac:dyDescent="0.2">
      <c r="A933" s="2" t="s">
        <v>73</v>
      </c>
      <c r="B933" s="4">
        <v>76</v>
      </c>
      <c r="C933" s="5">
        <v>13.15</v>
      </c>
      <c r="D933" s="4">
        <v>32</v>
      </c>
      <c r="E933" s="5">
        <v>9.14</v>
      </c>
      <c r="F933" s="4">
        <v>44</v>
      </c>
      <c r="G933" s="5">
        <v>20.09</v>
      </c>
      <c r="H933" s="4">
        <v>0</v>
      </c>
    </row>
    <row r="934" spans="1:8" x14ac:dyDescent="0.2">
      <c r="A934" s="2" t="s">
        <v>74</v>
      </c>
      <c r="B934" s="4">
        <v>1</v>
      </c>
      <c r="C934" s="5">
        <v>0.17</v>
      </c>
      <c r="D934" s="4">
        <v>0</v>
      </c>
      <c r="E934" s="5">
        <v>0</v>
      </c>
      <c r="F934" s="4">
        <v>1</v>
      </c>
      <c r="G934" s="5">
        <v>0.46</v>
      </c>
      <c r="H934" s="4">
        <v>0</v>
      </c>
    </row>
    <row r="935" spans="1:8" x14ac:dyDescent="0.2">
      <c r="A935" s="2" t="s">
        <v>75</v>
      </c>
      <c r="B935" s="4">
        <v>2</v>
      </c>
      <c r="C935" s="5">
        <v>0.35</v>
      </c>
      <c r="D935" s="4">
        <v>0</v>
      </c>
      <c r="E935" s="5">
        <v>0</v>
      </c>
      <c r="F935" s="4">
        <v>2</v>
      </c>
      <c r="G935" s="5">
        <v>0.91</v>
      </c>
      <c r="H935" s="4">
        <v>0</v>
      </c>
    </row>
    <row r="936" spans="1:8" x14ac:dyDescent="0.2">
      <c r="A936" s="2" t="s">
        <v>76</v>
      </c>
      <c r="B936" s="4">
        <v>6</v>
      </c>
      <c r="C936" s="5">
        <v>1.04</v>
      </c>
      <c r="D936" s="4">
        <v>0</v>
      </c>
      <c r="E936" s="5">
        <v>0</v>
      </c>
      <c r="F936" s="4">
        <v>6</v>
      </c>
      <c r="G936" s="5">
        <v>2.74</v>
      </c>
      <c r="H936" s="4">
        <v>0</v>
      </c>
    </row>
    <row r="937" spans="1:8" x14ac:dyDescent="0.2">
      <c r="A937" s="2" t="s">
        <v>77</v>
      </c>
      <c r="B937" s="4">
        <v>108</v>
      </c>
      <c r="C937" s="5">
        <v>18.690000000000001</v>
      </c>
      <c r="D937" s="4">
        <v>47</v>
      </c>
      <c r="E937" s="5">
        <v>13.43</v>
      </c>
      <c r="F937" s="4">
        <v>61</v>
      </c>
      <c r="G937" s="5">
        <v>27.85</v>
      </c>
      <c r="H937" s="4">
        <v>0</v>
      </c>
    </row>
    <row r="938" spans="1:8" x14ac:dyDescent="0.2">
      <c r="A938" s="2" t="s">
        <v>78</v>
      </c>
      <c r="B938" s="4">
        <v>1</v>
      </c>
      <c r="C938" s="5">
        <v>0.17</v>
      </c>
      <c r="D938" s="4">
        <v>1</v>
      </c>
      <c r="E938" s="5">
        <v>0.28999999999999998</v>
      </c>
      <c r="F938" s="4">
        <v>0</v>
      </c>
      <c r="G938" s="5">
        <v>0</v>
      </c>
      <c r="H938" s="4">
        <v>0</v>
      </c>
    </row>
    <row r="939" spans="1:8" x14ac:dyDescent="0.2">
      <c r="A939" s="2" t="s">
        <v>79</v>
      </c>
      <c r="B939" s="4">
        <v>53</v>
      </c>
      <c r="C939" s="5">
        <v>9.17</v>
      </c>
      <c r="D939" s="4">
        <v>31</v>
      </c>
      <c r="E939" s="5">
        <v>8.86</v>
      </c>
      <c r="F939" s="4">
        <v>22</v>
      </c>
      <c r="G939" s="5">
        <v>10.050000000000001</v>
      </c>
      <c r="H939" s="4">
        <v>0</v>
      </c>
    </row>
    <row r="940" spans="1:8" x14ac:dyDescent="0.2">
      <c r="A940" s="2" t="s">
        <v>80</v>
      </c>
      <c r="B940" s="4">
        <v>29</v>
      </c>
      <c r="C940" s="5">
        <v>5.0199999999999996</v>
      </c>
      <c r="D940" s="4">
        <v>22</v>
      </c>
      <c r="E940" s="5">
        <v>6.29</v>
      </c>
      <c r="F940" s="4">
        <v>7</v>
      </c>
      <c r="G940" s="5">
        <v>3.2</v>
      </c>
      <c r="H940" s="4">
        <v>0</v>
      </c>
    </row>
    <row r="941" spans="1:8" x14ac:dyDescent="0.2">
      <c r="A941" s="2" t="s">
        <v>81</v>
      </c>
      <c r="B941" s="4">
        <v>74</v>
      </c>
      <c r="C941" s="5">
        <v>12.8</v>
      </c>
      <c r="D941" s="4">
        <v>68</v>
      </c>
      <c r="E941" s="5">
        <v>19.43</v>
      </c>
      <c r="F941" s="4">
        <v>6</v>
      </c>
      <c r="G941" s="5">
        <v>2.74</v>
      </c>
      <c r="H941" s="4">
        <v>0</v>
      </c>
    </row>
    <row r="942" spans="1:8" x14ac:dyDescent="0.2">
      <c r="A942" s="2" t="s">
        <v>82</v>
      </c>
      <c r="B942" s="4">
        <v>92</v>
      </c>
      <c r="C942" s="5">
        <v>15.92</v>
      </c>
      <c r="D942" s="4">
        <v>74</v>
      </c>
      <c r="E942" s="5">
        <v>21.14</v>
      </c>
      <c r="F942" s="4">
        <v>18</v>
      </c>
      <c r="G942" s="5">
        <v>8.2200000000000006</v>
      </c>
      <c r="H942" s="4">
        <v>0</v>
      </c>
    </row>
    <row r="943" spans="1:8" x14ac:dyDescent="0.2">
      <c r="A943" s="2" t="s">
        <v>83</v>
      </c>
      <c r="B943" s="4">
        <v>43</v>
      </c>
      <c r="C943" s="5">
        <v>7.44</v>
      </c>
      <c r="D943" s="4">
        <v>31</v>
      </c>
      <c r="E943" s="5">
        <v>8.86</v>
      </c>
      <c r="F943" s="4">
        <v>4</v>
      </c>
      <c r="G943" s="5">
        <v>1.83</v>
      </c>
      <c r="H943" s="4">
        <v>0</v>
      </c>
    </row>
    <row r="944" spans="1:8" x14ac:dyDescent="0.2">
      <c r="A944" s="2" t="s">
        <v>84</v>
      </c>
      <c r="B944" s="4">
        <v>30</v>
      </c>
      <c r="C944" s="5">
        <v>5.19</v>
      </c>
      <c r="D944" s="4">
        <v>24</v>
      </c>
      <c r="E944" s="5">
        <v>6.86</v>
      </c>
      <c r="F944" s="4">
        <v>6</v>
      </c>
      <c r="G944" s="5">
        <v>2.74</v>
      </c>
      <c r="H944" s="4">
        <v>0</v>
      </c>
    </row>
    <row r="945" spans="1:8" x14ac:dyDescent="0.2">
      <c r="A945" s="2" t="s">
        <v>85</v>
      </c>
      <c r="B945" s="4">
        <v>12</v>
      </c>
      <c r="C945" s="5">
        <v>2.08</v>
      </c>
      <c r="D945" s="4">
        <v>5</v>
      </c>
      <c r="E945" s="5">
        <v>1.43</v>
      </c>
      <c r="F945" s="4">
        <v>6</v>
      </c>
      <c r="G945" s="5">
        <v>2.74</v>
      </c>
      <c r="H945" s="4">
        <v>0</v>
      </c>
    </row>
    <row r="946" spans="1:8" x14ac:dyDescent="0.2">
      <c r="A946" s="1" t="s">
        <v>59</v>
      </c>
      <c r="B946" s="4">
        <v>589</v>
      </c>
      <c r="C946" s="5">
        <v>100.01</v>
      </c>
      <c r="D946" s="4">
        <v>283</v>
      </c>
      <c r="E946" s="5">
        <v>100</v>
      </c>
      <c r="F946" s="4">
        <v>303</v>
      </c>
      <c r="G946" s="5">
        <v>99.99</v>
      </c>
      <c r="H946" s="4">
        <v>2</v>
      </c>
    </row>
    <row r="947" spans="1:8" x14ac:dyDescent="0.2">
      <c r="A947" s="2" t="s">
        <v>71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72</v>
      </c>
      <c r="B948" s="4">
        <v>117</v>
      </c>
      <c r="C948" s="5">
        <v>19.86</v>
      </c>
      <c r="D948" s="4">
        <v>14</v>
      </c>
      <c r="E948" s="5">
        <v>4.95</v>
      </c>
      <c r="F948" s="4">
        <v>103</v>
      </c>
      <c r="G948" s="5">
        <v>33.99</v>
      </c>
      <c r="H948" s="4">
        <v>0</v>
      </c>
    </row>
    <row r="949" spans="1:8" x14ac:dyDescent="0.2">
      <c r="A949" s="2" t="s">
        <v>73</v>
      </c>
      <c r="B949" s="4">
        <v>85</v>
      </c>
      <c r="C949" s="5">
        <v>14.43</v>
      </c>
      <c r="D949" s="4">
        <v>29</v>
      </c>
      <c r="E949" s="5">
        <v>10.25</v>
      </c>
      <c r="F949" s="4">
        <v>56</v>
      </c>
      <c r="G949" s="5">
        <v>18.48</v>
      </c>
      <c r="H949" s="4">
        <v>0</v>
      </c>
    </row>
    <row r="950" spans="1:8" x14ac:dyDescent="0.2">
      <c r="A950" s="2" t="s">
        <v>74</v>
      </c>
      <c r="B950" s="4">
        <v>1</v>
      </c>
      <c r="C950" s="5">
        <v>0.17</v>
      </c>
      <c r="D950" s="4">
        <v>0</v>
      </c>
      <c r="E950" s="5">
        <v>0</v>
      </c>
      <c r="F950" s="4">
        <v>1</v>
      </c>
      <c r="G950" s="5">
        <v>0.33</v>
      </c>
      <c r="H950" s="4">
        <v>0</v>
      </c>
    </row>
    <row r="951" spans="1:8" x14ac:dyDescent="0.2">
      <c r="A951" s="2" t="s">
        <v>75</v>
      </c>
      <c r="B951" s="4">
        <v>2</v>
      </c>
      <c r="C951" s="5">
        <v>0.34</v>
      </c>
      <c r="D951" s="4">
        <v>0</v>
      </c>
      <c r="E951" s="5">
        <v>0</v>
      </c>
      <c r="F951" s="4">
        <v>2</v>
      </c>
      <c r="G951" s="5">
        <v>0.66</v>
      </c>
      <c r="H951" s="4">
        <v>0</v>
      </c>
    </row>
    <row r="952" spans="1:8" x14ac:dyDescent="0.2">
      <c r="A952" s="2" t="s">
        <v>76</v>
      </c>
      <c r="B952" s="4">
        <v>4</v>
      </c>
      <c r="C952" s="5">
        <v>0.68</v>
      </c>
      <c r="D952" s="4">
        <v>1</v>
      </c>
      <c r="E952" s="5">
        <v>0.35</v>
      </c>
      <c r="F952" s="4">
        <v>3</v>
      </c>
      <c r="G952" s="5">
        <v>0.99</v>
      </c>
      <c r="H952" s="4">
        <v>0</v>
      </c>
    </row>
    <row r="953" spans="1:8" x14ac:dyDescent="0.2">
      <c r="A953" s="2" t="s">
        <v>77</v>
      </c>
      <c r="B953" s="4">
        <v>94</v>
      </c>
      <c r="C953" s="5">
        <v>15.96</v>
      </c>
      <c r="D953" s="4">
        <v>41</v>
      </c>
      <c r="E953" s="5">
        <v>14.49</v>
      </c>
      <c r="F953" s="4">
        <v>53</v>
      </c>
      <c r="G953" s="5">
        <v>17.489999999999998</v>
      </c>
      <c r="H953" s="4">
        <v>0</v>
      </c>
    </row>
    <row r="954" spans="1:8" x14ac:dyDescent="0.2">
      <c r="A954" s="2" t="s">
        <v>78</v>
      </c>
      <c r="B954" s="4">
        <v>3</v>
      </c>
      <c r="C954" s="5">
        <v>0.51</v>
      </c>
      <c r="D954" s="4">
        <v>0</v>
      </c>
      <c r="E954" s="5">
        <v>0</v>
      </c>
      <c r="F954" s="4">
        <v>3</v>
      </c>
      <c r="G954" s="5">
        <v>0.99</v>
      </c>
      <c r="H954" s="4">
        <v>0</v>
      </c>
    </row>
    <row r="955" spans="1:8" x14ac:dyDescent="0.2">
      <c r="A955" s="2" t="s">
        <v>79</v>
      </c>
      <c r="B955" s="4">
        <v>104</v>
      </c>
      <c r="C955" s="5">
        <v>17.66</v>
      </c>
      <c r="D955" s="4">
        <v>71</v>
      </c>
      <c r="E955" s="5">
        <v>25.09</v>
      </c>
      <c r="F955" s="4">
        <v>33</v>
      </c>
      <c r="G955" s="5">
        <v>10.89</v>
      </c>
      <c r="H955" s="4">
        <v>0</v>
      </c>
    </row>
    <row r="956" spans="1:8" x14ac:dyDescent="0.2">
      <c r="A956" s="2" t="s">
        <v>80</v>
      </c>
      <c r="B956" s="4">
        <v>19</v>
      </c>
      <c r="C956" s="5">
        <v>3.23</v>
      </c>
      <c r="D956" s="4">
        <v>8</v>
      </c>
      <c r="E956" s="5">
        <v>2.83</v>
      </c>
      <c r="F956" s="4">
        <v>11</v>
      </c>
      <c r="G956" s="5">
        <v>3.63</v>
      </c>
      <c r="H956" s="4">
        <v>0</v>
      </c>
    </row>
    <row r="957" spans="1:8" x14ac:dyDescent="0.2">
      <c r="A957" s="2" t="s">
        <v>81</v>
      </c>
      <c r="B957" s="4">
        <v>48</v>
      </c>
      <c r="C957" s="5">
        <v>8.15</v>
      </c>
      <c r="D957" s="4">
        <v>43</v>
      </c>
      <c r="E957" s="5">
        <v>15.19</v>
      </c>
      <c r="F957" s="4">
        <v>5</v>
      </c>
      <c r="G957" s="5">
        <v>1.65</v>
      </c>
      <c r="H957" s="4">
        <v>0</v>
      </c>
    </row>
    <row r="958" spans="1:8" x14ac:dyDescent="0.2">
      <c r="A958" s="2" t="s">
        <v>82</v>
      </c>
      <c r="B958" s="4">
        <v>51</v>
      </c>
      <c r="C958" s="5">
        <v>8.66</v>
      </c>
      <c r="D958" s="4">
        <v>40</v>
      </c>
      <c r="E958" s="5">
        <v>14.13</v>
      </c>
      <c r="F958" s="4">
        <v>11</v>
      </c>
      <c r="G958" s="5">
        <v>3.63</v>
      </c>
      <c r="H958" s="4">
        <v>0</v>
      </c>
    </row>
    <row r="959" spans="1:8" x14ac:dyDescent="0.2">
      <c r="A959" s="2" t="s">
        <v>83</v>
      </c>
      <c r="B959" s="4">
        <v>28</v>
      </c>
      <c r="C959" s="5">
        <v>4.75</v>
      </c>
      <c r="D959" s="4">
        <v>20</v>
      </c>
      <c r="E959" s="5">
        <v>7.07</v>
      </c>
      <c r="F959" s="4">
        <v>5</v>
      </c>
      <c r="G959" s="5">
        <v>1.65</v>
      </c>
      <c r="H959" s="4">
        <v>2</v>
      </c>
    </row>
    <row r="960" spans="1:8" x14ac:dyDescent="0.2">
      <c r="A960" s="2" t="s">
        <v>84</v>
      </c>
      <c r="B960" s="4">
        <v>14</v>
      </c>
      <c r="C960" s="5">
        <v>2.38</v>
      </c>
      <c r="D960" s="4">
        <v>7</v>
      </c>
      <c r="E960" s="5">
        <v>2.4700000000000002</v>
      </c>
      <c r="F960" s="4">
        <v>7</v>
      </c>
      <c r="G960" s="5">
        <v>2.31</v>
      </c>
      <c r="H960" s="4">
        <v>0</v>
      </c>
    </row>
    <row r="961" spans="1:8" x14ac:dyDescent="0.2">
      <c r="A961" s="2" t="s">
        <v>85</v>
      </c>
      <c r="B961" s="4">
        <v>19</v>
      </c>
      <c r="C961" s="5">
        <v>3.23</v>
      </c>
      <c r="D961" s="4">
        <v>9</v>
      </c>
      <c r="E961" s="5">
        <v>3.18</v>
      </c>
      <c r="F961" s="4">
        <v>10</v>
      </c>
      <c r="G961" s="5">
        <v>3.3</v>
      </c>
      <c r="H961" s="4">
        <v>0</v>
      </c>
    </row>
    <row r="962" spans="1:8" x14ac:dyDescent="0.2">
      <c r="A962" s="1" t="s">
        <v>60</v>
      </c>
      <c r="B962" s="4">
        <v>860</v>
      </c>
      <c r="C962" s="5">
        <v>99.97999999999999</v>
      </c>
      <c r="D962" s="4">
        <v>415</v>
      </c>
      <c r="E962" s="5">
        <v>99.999999999999986</v>
      </c>
      <c r="F962" s="4">
        <v>430</v>
      </c>
      <c r="G962" s="5">
        <v>100.01000000000002</v>
      </c>
      <c r="H962" s="4">
        <v>0</v>
      </c>
    </row>
    <row r="963" spans="1:8" x14ac:dyDescent="0.2">
      <c r="A963" s="2" t="s">
        <v>71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2">
      <c r="A964" s="2" t="s">
        <v>72</v>
      </c>
      <c r="B964" s="4">
        <v>120</v>
      </c>
      <c r="C964" s="5">
        <v>13.95</v>
      </c>
      <c r="D964" s="4">
        <v>21</v>
      </c>
      <c r="E964" s="5">
        <v>5.0599999999999996</v>
      </c>
      <c r="F964" s="4">
        <v>99</v>
      </c>
      <c r="G964" s="5">
        <v>23.02</v>
      </c>
      <c r="H964" s="4">
        <v>0</v>
      </c>
    </row>
    <row r="965" spans="1:8" x14ac:dyDescent="0.2">
      <c r="A965" s="2" t="s">
        <v>73</v>
      </c>
      <c r="B965" s="4">
        <v>97</v>
      </c>
      <c r="C965" s="5">
        <v>11.28</v>
      </c>
      <c r="D965" s="4">
        <v>30</v>
      </c>
      <c r="E965" s="5">
        <v>7.23</v>
      </c>
      <c r="F965" s="4">
        <v>67</v>
      </c>
      <c r="G965" s="5">
        <v>15.58</v>
      </c>
      <c r="H965" s="4">
        <v>0</v>
      </c>
    </row>
    <row r="966" spans="1:8" x14ac:dyDescent="0.2">
      <c r="A966" s="2" t="s">
        <v>74</v>
      </c>
      <c r="B966" s="4">
        <v>2</v>
      </c>
      <c r="C966" s="5">
        <v>0.23</v>
      </c>
      <c r="D966" s="4">
        <v>0</v>
      </c>
      <c r="E966" s="5">
        <v>0</v>
      </c>
      <c r="F966" s="4">
        <v>2</v>
      </c>
      <c r="G966" s="5">
        <v>0.47</v>
      </c>
      <c r="H966" s="4">
        <v>0</v>
      </c>
    </row>
    <row r="967" spans="1:8" x14ac:dyDescent="0.2">
      <c r="A967" s="2" t="s">
        <v>75</v>
      </c>
      <c r="B967" s="4">
        <v>10</v>
      </c>
      <c r="C967" s="5">
        <v>1.1599999999999999</v>
      </c>
      <c r="D967" s="4">
        <v>0</v>
      </c>
      <c r="E967" s="5">
        <v>0</v>
      </c>
      <c r="F967" s="4">
        <v>10</v>
      </c>
      <c r="G967" s="5">
        <v>2.33</v>
      </c>
      <c r="H967" s="4">
        <v>0</v>
      </c>
    </row>
    <row r="968" spans="1:8" x14ac:dyDescent="0.2">
      <c r="A968" s="2" t="s">
        <v>76</v>
      </c>
      <c r="B968" s="4">
        <v>11</v>
      </c>
      <c r="C968" s="5">
        <v>1.28</v>
      </c>
      <c r="D968" s="4">
        <v>0</v>
      </c>
      <c r="E968" s="5">
        <v>0</v>
      </c>
      <c r="F968" s="4">
        <v>11</v>
      </c>
      <c r="G968" s="5">
        <v>2.56</v>
      </c>
      <c r="H968" s="4">
        <v>0</v>
      </c>
    </row>
    <row r="969" spans="1:8" x14ac:dyDescent="0.2">
      <c r="A969" s="2" t="s">
        <v>77</v>
      </c>
      <c r="B969" s="4">
        <v>171</v>
      </c>
      <c r="C969" s="5">
        <v>19.88</v>
      </c>
      <c r="D969" s="4">
        <v>76</v>
      </c>
      <c r="E969" s="5">
        <v>18.309999999999999</v>
      </c>
      <c r="F969" s="4">
        <v>95</v>
      </c>
      <c r="G969" s="5">
        <v>22.09</v>
      </c>
      <c r="H969" s="4">
        <v>0</v>
      </c>
    </row>
    <row r="970" spans="1:8" x14ac:dyDescent="0.2">
      <c r="A970" s="2" t="s">
        <v>78</v>
      </c>
      <c r="B970" s="4">
        <v>2</v>
      </c>
      <c r="C970" s="5">
        <v>0.23</v>
      </c>
      <c r="D970" s="4">
        <v>0</v>
      </c>
      <c r="E970" s="5">
        <v>0</v>
      </c>
      <c r="F970" s="4">
        <v>2</v>
      </c>
      <c r="G970" s="5">
        <v>0.47</v>
      </c>
      <c r="H970" s="4">
        <v>0</v>
      </c>
    </row>
    <row r="971" spans="1:8" x14ac:dyDescent="0.2">
      <c r="A971" s="2" t="s">
        <v>79</v>
      </c>
      <c r="B971" s="4">
        <v>74</v>
      </c>
      <c r="C971" s="5">
        <v>8.6</v>
      </c>
      <c r="D971" s="4">
        <v>22</v>
      </c>
      <c r="E971" s="5">
        <v>5.3</v>
      </c>
      <c r="F971" s="4">
        <v>52</v>
      </c>
      <c r="G971" s="5">
        <v>12.09</v>
      </c>
      <c r="H971" s="4">
        <v>0</v>
      </c>
    </row>
    <row r="972" spans="1:8" x14ac:dyDescent="0.2">
      <c r="A972" s="2" t="s">
        <v>80</v>
      </c>
      <c r="B972" s="4">
        <v>41</v>
      </c>
      <c r="C972" s="5">
        <v>4.7699999999999996</v>
      </c>
      <c r="D972" s="4">
        <v>24</v>
      </c>
      <c r="E972" s="5">
        <v>5.78</v>
      </c>
      <c r="F972" s="4">
        <v>17</v>
      </c>
      <c r="G972" s="5">
        <v>3.95</v>
      </c>
      <c r="H972" s="4">
        <v>0</v>
      </c>
    </row>
    <row r="973" spans="1:8" x14ac:dyDescent="0.2">
      <c r="A973" s="2" t="s">
        <v>81</v>
      </c>
      <c r="B973" s="4">
        <v>115</v>
      </c>
      <c r="C973" s="5">
        <v>13.37</v>
      </c>
      <c r="D973" s="4">
        <v>99</v>
      </c>
      <c r="E973" s="5">
        <v>23.86</v>
      </c>
      <c r="F973" s="4">
        <v>16</v>
      </c>
      <c r="G973" s="5">
        <v>3.72</v>
      </c>
      <c r="H973" s="4">
        <v>0</v>
      </c>
    </row>
    <row r="974" spans="1:8" x14ac:dyDescent="0.2">
      <c r="A974" s="2" t="s">
        <v>82</v>
      </c>
      <c r="B974" s="4">
        <v>102</v>
      </c>
      <c r="C974" s="5">
        <v>11.86</v>
      </c>
      <c r="D974" s="4">
        <v>74</v>
      </c>
      <c r="E974" s="5">
        <v>17.829999999999998</v>
      </c>
      <c r="F974" s="4">
        <v>27</v>
      </c>
      <c r="G974" s="5">
        <v>6.28</v>
      </c>
      <c r="H974" s="4">
        <v>0</v>
      </c>
    </row>
    <row r="975" spans="1:8" x14ac:dyDescent="0.2">
      <c r="A975" s="2" t="s">
        <v>83</v>
      </c>
      <c r="B975" s="4">
        <v>46</v>
      </c>
      <c r="C975" s="5">
        <v>5.35</v>
      </c>
      <c r="D975" s="4">
        <v>29</v>
      </c>
      <c r="E975" s="5">
        <v>6.99</v>
      </c>
      <c r="F975" s="4">
        <v>14</v>
      </c>
      <c r="G975" s="5">
        <v>3.26</v>
      </c>
      <c r="H975" s="4">
        <v>0</v>
      </c>
    </row>
    <row r="976" spans="1:8" x14ac:dyDescent="0.2">
      <c r="A976" s="2" t="s">
        <v>84</v>
      </c>
      <c r="B976" s="4">
        <v>48</v>
      </c>
      <c r="C976" s="5">
        <v>5.58</v>
      </c>
      <c r="D976" s="4">
        <v>33</v>
      </c>
      <c r="E976" s="5">
        <v>7.95</v>
      </c>
      <c r="F976" s="4">
        <v>6</v>
      </c>
      <c r="G976" s="5">
        <v>1.4</v>
      </c>
      <c r="H976" s="4">
        <v>0</v>
      </c>
    </row>
    <row r="977" spans="1:8" x14ac:dyDescent="0.2">
      <c r="A977" s="2" t="s">
        <v>85</v>
      </c>
      <c r="B977" s="4">
        <v>21</v>
      </c>
      <c r="C977" s="5">
        <v>2.44</v>
      </c>
      <c r="D977" s="4">
        <v>7</v>
      </c>
      <c r="E977" s="5">
        <v>1.69</v>
      </c>
      <c r="F977" s="4">
        <v>12</v>
      </c>
      <c r="G977" s="5">
        <v>2.79</v>
      </c>
      <c r="H977" s="4">
        <v>0</v>
      </c>
    </row>
    <row r="978" spans="1:8" x14ac:dyDescent="0.2">
      <c r="A978" s="1" t="s">
        <v>61</v>
      </c>
      <c r="B978" s="4">
        <v>281</v>
      </c>
      <c r="C978" s="5">
        <v>99.999999999999986</v>
      </c>
      <c r="D978" s="4">
        <v>74</v>
      </c>
      <c r="E978" s="5">
        <v>99.999999999999986</v>
      </c>
      <c r="F978" s="4">
        <v>203</v>
      </c>
      <c r="G978" s="5">
        <v>99.989999999999981</v>
      </c>
      <c r="H978" s="4">
        <v>0</v>
      </c>
    </row>
    <row r="979" spans="1:8" x14ac:dyDescent="0.2">
      <c r="A979" s="2" t="s">
        <v>71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2">
      <c r="A980" s="2" t="s">
        <v>72</v>
      </c>
      <c r="B980" s="4">
        <v>27</v>
      </c>
      <c r="C980" s="5">
        <v>9.61</v>
      </c>
      <c r="D980" s="4">
        <v>10</v>
      </c>
      <c r="E980" s="5">
        <v>13.51</v>
      </c>
      <c r="F980" s="4">
        <v>17</v>
      </c>
      <c r="G980" s="5">
        <v>8.3699999999999992</v>
      </c>
      <c r="H980" s="4">
        <v>0</v>
      </c>
    </row>
    <row r="981" spans="1:8" x14ac:dyDescent="0.2">
      <c r="A981" s="2" t="s">
        <v>73</v>
      </c>
      <c r="B981" s="4">
        <v>65</v>
      </c>
      <c r="C981" s="5">
        <v>23.13</v>
      </c>
      <c r="D981" s="4">
        <v>13</v>
      </c>
      <c r="E981" s="5">
        <v>17.57</v>
      </c>
      <c r="F981" s="4">
        <v>52</v>
      </c>
      <c r="G981" s="5">
        <v>25.62</v>
      </c>
      <c r="H981" s="4">
        <v>0</v>
      </c>
    </row>
    <row r="982" spans="1:8" x14ac:dyDescent="0.2">
      <c r="A982" s="2" t="s">
        <v>74</v>
      </c>
      <c r="B982" s="4">
        <v>0</v>
      </c>
      <c r="C982" s="5">
        <v>0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2">
      <c r="A983" s="2" t="s">
        <v>75</v>
      </c>
      <c r="B983" s="4">
        <v>0</v>
      </c>
      <c r="C983" s="5">
        <v>0</v>
      </c>
      <c r="D983" s="4">
        <v>0</v>
      </c>
      <c r="E983" s="5">
        <v>0</v>
      </c>
      <c r="F983" s="4">
        <v>0</v>
      </c>
      <c r="G983" s="5">
        <v>0</v>
      </c>
      <c r="H983" s="4">
        <v>0</v>
      </c>
    </row>
    <row r="984" spans="1:8" x14ac:dyDescent="0.2">
      <c r="A984" s="2" t="s">
        <v>76</v>
      </c>
      <c r="B984" s="4">
        <v>45</v>
      </c>
      <c r="C984" s="5">
        <v>16.010000000000002</v>
      </c>
      <c r="D984" s="4">
        <v>2</v>
      </c>
      <c r="E984" s="5">
        <v>2.7</v>
      </c>
      <c r="F984" s="4">
        <v>43</v>
      </c>
      <c r="G984" s="5">
        <v>21.18</v>
      </c>
      <c r="H984" s="4">
        <v>0</v>
      </c>
    </row>
    <row r="985" spans="1:8" x14ac:dyDescent="0.2">
      <c r="A985" s="2" t="s">
        <v>77</v>
      </c>
      <c r="B985" s="4">
        <v>63</v>
      </c>
      <c r="C985" s="5">
        <v>22.42</v>
      </c>
      <c r="D985" s="4">
        <v>19</v>
      </c>
      <c r="E985" s="5">
        <v>25.68</v>
      </c>
      <c r="F985" s="4">
        <v>44</v>
      </c>
      <c r="G985" s="5">
        <v>21.67</v>
      </c>
      <c r="H985" s="4">
        <v>0</v>
      </c>
    </row>
    <row r="986" spans="1:8" x14ac:dyDescent="0.2">
      <c r="A986" s="2" t="s">
        <v>78</v>
      </c>
      <c r="B986" s="4">
        <v>0</v>
      </c>
      <c r="C986" s="5">
        <v>0</v>
      </c>
      <c r="D986" s="4">
        <v>0</v>
      </c>
      <c r="E986" s="5">
        <v>0</v>
      </c>
      <c r="F986" s="4">
        <v>0</v>
      </c>
      <c r="G986" s="5">
        <v>0</v>
      </c>
      <c r="H986" s="4">
        <v>0</v>
      </c>
    </row>
    <row r="987" spans="1:8" x14ac:dyDescent="0.2">
      <c r="A987" s="2" t="s">
        <v>79</v>
      </c>
      <c r="B987" s="4">
        <v>16</v>
      </c>
      <c r="C987" s="5">
        <v>5.69</v>
      </c>
      <c r="D987" s="4">
        <v>0</v>
      </c>
      <c r="E987" s="5">
        <v>0</v>
      </c>
      <c r="F987" s="4">
        <v>16</v>
      </c>
      <c r="G987" s="5">
        <v>7.88</v>
      </c>
      <c r="H987" s="4">
        <v>0</v>
      </c>
    </row>
    <row r="988" spans="1:8" x14ac:dyDescent="0.2">
      <c r="A988" s="2" t="s">
        <v>80</v>
      </c>
      <c r="B988" s="4">
        <v>3</v>
      </c>
      <c r="C988" s="5">
        <v>1.07</v>
      </c>
      <c r="D988" s="4">
        <v>3</v>
      </c>
      <c r="E988" s="5">
        <v>4.05</v>
      </c>
      <c r="F988" s="4">
        <v>0</v>
      </c>
      <c r="G988" s="5">
        <v>0</v>
      </c>
      <c r="H988" s="4">
        <v>0</v>
      </c>
    </row>
    <row r="989" spans="1:8" x14ac:dyDescent="0.2">
      <c r="A989" s="2" t="s">
        <v>81</v>
      </c>
      <c r="B989" s="4">
        <v>17</v>
      </c>
      <c r="C989" s="5">
        <v>6.05</v>
      </c>
      <c r="D989" s="4">
        <v>13</v>
      </c>
      <c r="E989" s="5">
        <v>17.57</v>
      </c>
      <c r="F989" s="4">
        <v>4</v>
      </c>
      <c r="G989" s="5">
        <v>1.97</v>
      </c>
      <c r="H989" s="4">
        <v>0</v>
      </c>
    </row>
    <row r="990" spans="1:8" x14ac:dyDescent="0.2">
      <c r="A990" s="2" t="s">
        <v>82</v>
      </c>
      <c r="B990" s="4">
        <v>6</v>
      </c>
      <c r="C990" s="5">
        <v>2.14</v>
      </c>
      <c r="D990" s="4">
        <v>3</v>
      </c>
      <c r="E990" s="5">
        <v>4.05</v>
      </c>
      <c r="F990" s="4">
        <v>1</v>
      </c>
      <c r="G990" s="5">
        <v>0.49</v>
      </c>
      <c r="H990" s="4">
        <v>0</v>
      </c>
    </row>
    <row r="991" spans="1:8" x14ac:dyDescent="0.2">
      <c r="A991" s="2" t="s">
        <v>83</v>
      </c>
      <c r="B991" s="4">
        <v>6</v>
      </c>
      <c r="C991" s="5">
        <v>2.14</v>
      </c>
      <c r="D991" s="4">
        <v>4</v>
      </c>
      <c r="E991" s="5">
        <v>5.41</v>
      </c>
      <c r="F991" s="4">
        <v>1</v>
      </c>
      <c r="G991" s="5">
        <v>0.49</v>
      </c>
      <c r="H991" s="4">
        <v>0</v>
      </c>
    </row>
    <row r="992" spans="1:8" x14ac:dyDescent="0.2">
      <c r="A992" s="2" t="s">
        <v>84</v>
      </c>
      <c r="B992" s="4">
        <v>2</v>
      </c>
      <c r="C992" s="5">
        <v>0.71</v>
      </c>
      <c r="D992" s="4">
        <v>1</v>
      </c>
      <c r="E992" s="5">
        <v>1.35</v>
      </c>
      <c r="F992" s="4">
        <v>0</v>
      </c>
      <c r="G992" s="5">
        <v>0</v>
      </c>
      <c r="H992" s="4">
        <v>0</v>
      </c>
    </row>
    <row r="993" spans="1:8" x14ac:dyDescent="0.2">
      <c r="A993" s="2" t="s">
        <v>85</v>
      </c>
      <c r="B993" s="4">
        <v>31</v>
      </c>
      <c r="C993" s="5">
        <v>11.03</v>
      </c>
      <c r="D993" s="4">
        <v>6</v>
      </c>
      <c r="E993" s="5">
        <v>8.11</v>
      </c>
      <c r="F993" s="4">
        <v>25</v>
      </c>
      <c r="G993" s="5">
        <v>12.32</v>
      </c>
      <c r="H993" s="4">
        <v>0</v>
      </c>
    </row>
    <row r="994" spans="1:8" x14ac:dyDescent="0.2">
      <c r="A994" s="1" t="s">
        <v>62</v>
      </c>
      <c r="B994" s="4">
        <v>461</v>
      </c>
      <c r="C994" s="5">
        <v>100</v>
      </c>
      <c r="D994" s="4">
        <v>246</v>
      </c>
      <c r="E994" s="5">
        <v>100.00999999999999</v>
      </c>
      <c r="F994" s="4">
        <v>211</v>
      </c>
      <c r="G994" s="5">
        <v>100.02</v>
      </c>
      <c r="H994" s="4">
        <v>0</v>
      </c>
    </row>
    <row r="995" spans="1:8" x14ac:dyDescent="0.2">
      <c r="A995" s="2" t="s">
        <v>71</v>
      </c>
      <c r="B995" s="4">
        <v>0</v>
      </c>
      <c r="C995" s="5">
        <v>0</v>
      </c>
      <c r="D995" s="4">
        <v>0</v>
      </c>
      <c r="E995" s="5">
        <v>0</v>
      </c>
      <c r="F995" s="4">
        <v>0</v>
      </c>
      <c r="G995" s="5">
        <v>0</v>
      </c>
      <c r="H995" s="4">
        <v>0</v>
      </c>
    </row>
    <row r="996" spans="1:8" x14ac:dyDescent="0.2">
      <c r="A996" s="2" t="s">
        <v>72</v>
      </c>
      <c r="B996" s="4">
        <v>90</v>
      </c>
      <c r="C996" s="5">
        <v>19.52</v>
      </c>
      <c r="D996" s="4">
        <v>32</v>
      </c>
      <c r="E996" s="5">
        <v>13.01</v>
      </c>
      <c r="F996" s="4">
        <v>58</v>
      </c>
      <c r="G996" s="5">
        <v>27.49</v>
      </c>
      <c r="H996" s="4">
        <v>0</v>
      </c>
    </row>
    <row r="997" spans="1:8" x14ac:dyDescent="0.2">
      <c r="A997" s="2" t="s">
        <v>73</v>
      </c>
      <c r="B997" s="4">
        <v>28</v>
      </c>
      <c r="C997" s="5">
        <v>6.07</v>
      </c>
      <c r="D997" s="4">
        <v>10</v>
      </c>
      <c r="E997" s="5">
        <v>4.07</v>
      </c>
      <c r="F997" s="4">
        <v>18</v>
      </c>
      <c r="G997" s="5">
        <v>8.5299999999999994</v>
      </c>
      <c r="H997" s="4">
        <v>0</v>
      </c>
    </row>
    <row r="998" spans="1:8" x14ac:dyDescent="0.2">
      <c r="A998" s="2" t="s">
        <v>74</v>
      </c>
      <c r="B998" s="4">
        <v>4</v>
      </c>
      <c r="C998" s="5">
        <v>0.87</v>
      </c>
      <c r="D998" s="4">
        <v>0</v>
      </c>
      <c r="E998" s="5">
        <v>0</v>
      </c>
      <c r="F998" s="4">
        <v>4</v>
      </c>
      <c r="G998" s="5">
        <v>1.9</v>
      </c>
      <c r="H998" s="4">
        <v>0</v>
      </c>
    </row>
    <row r="999" spans="1:8" x14ac:dyDescent="0.2">
      <c r="A999" s="2" t="s">
        <v>75</v>
      </c>
      <c r="B999" s="4">
        <v>5</v>
      </c>
      <c r="C999" s="5">
        <v>1.08</v>
      </c>
      <c r="D999" s="4">
        <v>1</v>
      </c>
      <c r="E999" s="5">
        <v>0.41</v>
      </c>
      <c r="F999" s="4">
        <v>4</v>
      </c>
      <c r="G999" s="5">
        <v>1.9</v>
      </c>
      <c r="H999" s="4">
        <v>0</v>
      </c>
    </row>
    <row r="1000" spans="1:8" x14ac:dyDescent="0.2">
      <c r="A1000" s="2" t="s">
        <v>76</v>
      </c>
      <c r="B1000" s="4">
        <v>3</v>
      </c>
      <c r="C1000" s="5">
        <v>0.65</v>
      </c>
      <c r="D1000" s="4">
        <v>1</v>
      </c>
      <c r="E1000" s="5">
        <v>0.41</v>
      </c>
      <c r="F1000" s="4">
        <v>2</v>
      </c>
      <c r="G1000" s="5">
        <v>0.95</v>
      </c>
      <c r="H1000" s="4">
        <v>0</v>
      </c>
    </row>
    <row r="1001" spans="1:8" x14ac:dyDescent="0.2">
      <c r="A1001" s="2" t="s">
        <v>77</v>
      </c>
      <c r="B1001" s="4">
        <v>107</v>
      </c>
      <c r="C1001" s="5">
        <v>23.21</v>
      </c>
      <c r="D1001" s="4">
        <v>58</v>
      </c>
      <c r="E1001" s="5">
        <v>23.58</v>
      </c>
      <c r="F1001" s="4">
        <v>49</v>
      </c>
      <c r="G1001" s="5">
        <v>23.22</v>
      </c>
      <c r="H1001" s="4">
        <v>0</v>
      </c>
    </row>
    <row r="1002" spans="1:8" x14ac:dyDescent="0.2">
      <c r="A1002" s="2" t="s">
        <v>78</v>
      </c>
      <c r="B1002" s="4">
        <v>5</v>
      </c>
      <c r="C1002" s="5">
        <v>1.08</v>
      </c>
      <c r="D1002" s="4">
        <v>0</v>
      </c>
      <c r="E1002" s="5">
        <v>0</v>
      </c>
      <c r="F1002" s="4">
        <v>5</v>
      </c>
      <c r="G1002" s="5">
        <v>2.37</v>
      </c>
      <c r="H1002" s="4">
        <v>0</v>
      </c>
    </row>
    <row r="1003" spans="1:8" x14ac:dyDescent="0.2">
      <c r="A1003" s="2" t="s">
        <v>79</v>
      </c>
      <c r="B1003" s="4">
        <v>22</v>
      </c>
      <c r="C1003" s="5">
        <v>4.7699999999999996</v>
      </c>
      <c r="D1003" s="4">
        <v>6</v>
      </c>
      <c r="E1003" s="5">
        <v>2.44</v>
      </c>
      <c r="F1003" s="4">
        <v>16</v>
      </c>
      <c r="G1003" s="5">
        <v>7.58</v>
      </c>
      <c r="H1003" s="4">
        <v>0</v>
      </c>
    </row>
    <row r="1004" spans="1:8" x14ac:dyDescent="0.2">
      <c r="A1004" s="2" t="s">
        <v>80</v>
      </c>
      <c r="B1004" s="4">
        <v>24</v>
      </c>
      <c r="C1004" s="5">
        <v>5.21</v>
      </c>
      <c r="D1004" s="4">
        <v>16</v>
      </c>
      <c r="E1004" s="5">
        <v>6.5</v>
      </c>
      <c r="F1004" s="4">
        <v>8</v>
      </c>
      <c r="G1004" s="5">
        <v>3.79</v>
      </c>
      <c r="H1004" s="4">
        <v>0</v>
      </c>
    </row>
    <row r="1005" spans="1:8" x14ac:dyDescent="0.2">
      <c r="A1005" s="2" t="s">
        <v>81</v>
      </c>
      <c r="B1005" s="4">
        <v>47</v>
      </c>
      <c r="C1005" s="5">
        <v>10.199999999999999</v>
      </c>
      <c r="D1005" s="4">
        <v>39</v>
      </c>
      <c r="E1005" s="5">
        <v>15.85</v>
      </c>
      <c r="F1005" s="4">
        <v>7</v>
      </c>
      <c r="G1005" s="5">
        <v>3.32</v>
      </c>
      <c r="H1005" s="4">
        <v>0</v>
      </c>
    </row>
    <row r="1006" spans="1:8" x14ac:dyDescent="0.2">
      <c r="A1006" s="2" t="s">
        <v>82</v>
      </c>
      <c r="B1006" s="4">
        <v>60</v>
      </c>
      <c r="C1006" s="5">
        <v>13.02</v>
      </c>
      <c r="D1006" s="4">
        <v>44</v>
      </c>
      <c r="E1006" s="5">
        <v>17.89</v>
      </c>
      <c r="F1006" s="4">
        <v>15</v>
      </c>
      <c r="G1006" s="5">
        <v>7.11</v>
      </c>
      <c r="H1006" s="4">
        <v>0</v>
      </c>
    </row>
    <row r="1007" spans="1:8" x14ac:dyDescent="0.2">
      <c r="A1007" s="2" t="s">
        <v>83</v>
      </c>
      <c r="B1007" s="4">
        <v>17</v>
      </c>
      <c r="C1007" s="5">
        <v>3.69</v>
      </c>
      <c r="D1007" s="4">
        <v>13</v>
      </c>
      <c r="E1007" s="5">
        <v>5.28</v>
      </c>
      <c r="F1007" s="4">
        <v>4</v>
      </c>
      <c r="G1007" s="5">
        <v>1.9</v>
      </c>
      <c r="H1007" s="4">
        <v>0</v>
      </c>
    </row>
    <row r="1008" spans="1:8" x14ac:dyDescent="0.2">
      <c r="A1008" s="2" t="s">
        <v>84</v>
      </c>
      <c r="B1008" s="4">
        <v>30</v>
      </c>
      <c r="C1008" s="5">
        <v>6.51</v>
      </c>
      <c r="D1008" s="4">
        <v>20</v>
      </c>
      <c r="E1008" s="5">
        <v>8.1300000000000008</v>
      </c>
      <c r="F1008" s="4">
        <v>9</v>
      </c>
      <c r="G1008" s="5">
        <v>4.2699999999999996</v>
      </c>
      <c r="H1008" s="4">
        <v>0</v>
      </c>
    </row>
    <row r="1009" spans="1:8" x14ac:dyDescent="0.2">
      <c r="A1009" s="2" t="s">
        <v>85</v>
      </c>
      <c r="B1009" s="4">
        <v>19</v>
      </c>
      <c r="C1009" s="5">
        <v>4.12</v>
      </c>
      <c r="D1009" s="4">
        <v>6</v>
      </c>
      <c r="E1009" s="5">
        <v>2.44</v>
      </c>
      <c r="F1009" s="4">
        <v>12</v>
      </c>
      <c r="G1009" s="5">
        <v>5.69</v>
      </c>
      <c r="H1009" s="4">
        <v>0</v>
      </c>
    </row>
    <row r="1010" spans="1:8" x14ac:dyDescent="0.2">
      <c r="A1010" s="1" t="s">
        <v>63</v>
      </c>
      <c r="B1010" s="4">
        <v>739</v>
      </c>
      <c r="C1010" s="5">
        <v>100</v>
      </c>
      <c r="D1010" s="4">
        <v>349</v>
      </c>
      <c r="E1010" s="5">
        <v>100.00999999999999</v>
      </c>
      <c r="F1010" s="4">
        <v>380</v>
      </c>
      <c r="G1010" s="5">
        <v>99.98</v>
      </c>
      <c r="H1010" s="4">
        <v>1</v>
      </c>
    </row>
    <row r="1011" spans="1:8" x14ac:dyDescent="0.2">
      <c r="A1011" s="2" t="s">
        <v>71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2">
      <c r="A1012" s="2" t="s">
        <v>72</v>
      </c>
      <c r="B1012" s="4">
        <v>110</v>
      </c>
      <c r="C1012" s="5">
        <v>14.88</v>
      </c>
      <c r="D1012" s="4">
        <v>34</v>
      </c>
      <c r="E1012" s="5">
        <v>9.74</v>
      </c>
      <c r="F1012" s="4">
        <v>76</v>
      </c>
      <c r="G1012" s="5">
        <v>20</v>
      </c>
      <c r="H1012" s="4">
        <v>0</v>
      </c>
    </row>
    <row r="1013" spans="1:8" x14ac:dyDescent="0.2">
      <c r="A1013" s="2" t="s">
        <v>73</v>
      </c>
      <c r="B1013" s="4">
        <v>102</v>
      </c>
      <c r="C1013" s="5">
        <v>13.8</v>
      </c>
      <c r="D1013" s="4">
        <v>31</v>
      </c>
      <c r="E1013" s="5">
        <v>8.8800000000000008</v>
      </c>
      <c r="F1013" s="4">
        <v>71</v>
      </c>
      <c r="G1013" s="5">
        <v>18.68</v>
      </c>
      <c r="H1013" s="4">
        <v>0</v>
      </c>
    </row>
    <row r="1014" spans="1:8" x14ac:dyDescent="0.2">
      <c r="A1014" s="2" t="s">
        <v>74</v>
      </c>
      <c r="B1014" s="4">
        <v>1</v>
      </c>
      <c r="C1014" s="5">
        <v>0.14000000000000001</v>
      </c>
      <c r="D1014" s="4">
        <v>0</v>
      </c>
      <c r="E1014" s="5">
        <v>0</v>
      </c>
      <c r="F1014" s="4">
        <v>1</v>
      </c>
      <c r="G1014" s="5">
        <v>0.26</v>
      </c>
      <c r="H1014" s="4">
        <v>0</v>
      </c>
    </row>
    <row r="1015" spans="1:8" x14ac:dyDescent="0.2">
      <c r="A1015" s="2" t="s">
        <v>75</v>
      </c>
      <c r="B1015" s="4">
        <v>5</v>
      </c>
      <c r="C1015" s="5">
        <v>0.68</v>
      </c>
      <c r="D1015" s="4">
        <v>1</v>
      </c>
      <c r="E1015" s="5">
        <v>0.28999999999999998</v>
      </c>
      <c r="F1015" s="4">
        <v>4</v>
      </c>
      <c r="G1015" s="5">
        <v>1.05</v>
      </c>
      <c r="H1015" s="4">
        <v>0</v>
      </c>
    </row>
    <row r="1016" spans="1:8" x14ac:dyDescent="0.2">
      <c r="A1016" s="2" t="s">
        <v>76</v>
      </c>
      <c r="B1016" s="4">
        <v>8</v>
      </c>
      <c r="C1016" s="5">
        <v>1.08</v>
      </c>
      <c r="D1016" s="4">
        <v>2</v>
      </c>
      <c r="E1016" s="5">
        <v>0.56999999999999995</v>
      </c>
      <c r="F1016" s="4">
        <v>6</v>
      </c>
      <c r="G1016" s="5">
        <v>1.58</v>
      </c>
      <c r="H1016" s="4">
        <v>0</v>
      </c>
    </row>
    <row r="1017" spans="1:8" x14ac:dyDescent="0.2">
      <c r="A1017" s="2" t="s">
        <v>77</v>
      </c>
      <c r="B1017" s="4">
        <v>157</v>
      </c>
      <c r="C1017" s="5">
        <v>21.24</v>
      </c>
      <c r="D1017" s="4">
        <v>70</v>
      </c>
      <c r="E1017" s="5">
        <v>20.059999999999999</v>
      </c>
      <c r="F1017" s="4">
        <v>87</v>
      </c>
      <c r="G1017" s="5">
        <v>22.89</v>
      </c>
      <c r="H1017" s="4">
        <v>0</v>
      </c>
    </row>
    <row r="1018" spans="1:8" x14ac:dyDescent="0.2">
      <c r="A1018" s="2" t="s">
        <v>78</v>
      </c>
      <c r="B1018" s="4">
        <v>7</v>
      </c>
      <c r="C1018" s="5">
        <v>0.95</v>
      </c>
      <c r="D1018" s="4">
        <v>3</v>
      </c>
      <c r="E1018" s="5">
        <v>0.86</v>
      </c>
      <c r="F1018" s="4">
        <v>4</v>
      </c>
      <c r="G1018" s="5">
        <v>1.05</v>
      </c>
      <c r="H1018" s="4">
        <v>0</v>
      </c>
    </row>
    <row r="1019" spans="1:8" x14ac:dyDescent="0.2">
      <c r="A1019" s="2" t="s">
        <v>79</v>
      </c>
      <c r="B1019" s="4">
        <v>77</v>
      </c>
      <c r="C1019" s="5">
        <v>10.42</v>
      </c>
      <c r="D1019" s="4">
        <v>25</v>
      </c>
      <c r="E1019" s="5">
        <v>7.16</v>
      </c>
      <c r="F1019" s="4">
        <v>52</v>
      </c>
      <c r="G1019" s="5">
        <v>13.68</v>
      </c>
      <c r="H1019" s="4">
        <v>0</v>
      </c>
    </row>
    <row r="1020" spans="1:8" x14ac:dyDescent="0.2">
      <c r="A1020" s="2" t="s">
        <v>80</v>
      </c>
      <c r="B1020" s="4">
        <v>33</v>
      </c>
      <c r="C1020" s="5">
        <v>4.47</v>
      </c>
      <c r="D1020" s="4">
        <v>18</v>
      </c>
      <c r="E1020" s="5">
        <v>5.16</v>
      </c>
      <c r="F1020" s="4">
        <v>14</v>
      </c>
      <c r="G1020" s="5">
        <v>3.68</v>
      </c>
      <c r="H1020" s="4">
        <v>1</v>
      </c>
    </row>
    <row r="1021" spans="1:8" x14ac:dyDescent="0.2">
      <c r="A1021" s="2" t="s">
        <v>81</v>
      </c>
      <c r="B1021" s="4">
        <v>62</v>
      </c>
      <c r="C1021" s="5">
        <v>8.39</v>
      </c>
      <c r="D1021" s="4">
        <v>50</v>
      </c>
      <c r="E1021" s="5">
        <v>14.33</v>
      </c>
      <c r="F1021" s="4">
        <v>12</v>
      </c>
      <c r="G1021" s="5">
        <v>3.16</v>
      </c>
      <c r="H1021" s="4">
        <v>0</v>
      </c>
    </row>
    <row r="1022" spans="1:8" x14ac:dyDescent="0.2">
      <c r="A1022" s="2" t="s">
        <v>82</v>
      </c>
      <c r="B1022" s="4">
        <v>74</v>
      </c>
      <c r="C1022" s="5">
        <v>10.01</v>
      </c>
      <c r="D1022" s="4">
        <v>62</v>
      </c>
      <c r="E1022" s="5">
        <v>17.77</v>
      </c>
      <c r="F1022" s="4">
        <v>12</v>
      </c>
      <c r="G1022" s="5">
        <v>3.16</v>
      </c>
      <c r="H1022" s="4">
        <v>0</v>
      </c>
    </row>
    <row r="1023" spans="1:8" x14ac:dyDescent="0.2">
      <c r="A1023" s="2" t="s">
        <v>83</v>
      </c>
      <c r="B1023" s="4">
        <v>34</v>
      </c>
      <c r="C1023" s="5">
        <v>4.5999999999999996</v>
      </c>
      <c r="D1023" s="4">
        <v>21</v>
      </c>
      <c r="E1023" s="5">
        <v>6.02</v>
      </c>
      <c r="F1023" s="4">
        <v>7</v>
      </c>
      <c r="G1023" s="5">
        <v>1.84</v>
      </c>
      <c r="H1023" s="4">
        <v>0</v>
      </c>
    </row>
    <row r="1024" spans="1:8" x14ac:dyDescent="0.2">
      <c r="A1024" s="2" t="s">
        <v>84</v>
      </c>
      <c r="B1024" s="4">
        <v>47</v>
      </c>
      <c r="C1024" s="5">
        <v>6.36</v>
      </c>
      <c r="D1024" s="4">
        <v>28</v>
      </c>
      <c r="E1024" s="5">
        <v>8.02</v>
      </c>
      <c r="F1024" s="4">
        <v>19</v>
      </c>
      <c r="G1024" s="5">
        <v>5</v>
      </c>
      <c r="H1024" s="4">
        <v>0</v>
      </c>
    </row>
    <row r="1025" spans="1:8" x14ac:dyDescent="0.2">
      <c r="A1025" s="2" t="s">
        <v>85</v>
      </c>
      <c r="B1025" s="4">
        <v>22</v>
      </c>
      <c r="C1025" s="5">
        <v>2.98</v>
      </c>
      <c r="D1025" s="4">
        <v>4</v>
      </c>
      <c r="E1025" s="5">
        <v>1.1499999999999999</v>
      </c>
      <c r="F1025" s="4">
        <v>15</v>
      </c>
      <c r="G1025" s="5">
        <v>3.95</v>
      </c>
      <c r="H1025" s="4">
        <v>0</v>
      </c>
    </row>
    <row r="1026" spans="1:8" x14ac:dyDescent="0.2">
      <c r="A1026" s="1" t="s">
        <v>64</v>
      </c>
      <c r="B1026" s="4">
        <v>648</v>
      </c>
      <c r="C1026" s="5">
        <v>99.990000000000023</v>
      </c>
      <c r="D1026" s="4">
        <v>488</v>
      </c>
      <c r="E1026" s="5">
        <v>99.999999999999986</v>
      </c>
      <c r="F1026" s="4">
        <v>154</v>
      </c>
      <c r="G1026" s="5">
        <v>100.01</v>
      </c>
      <c r="H1026" s="4">
        <v>1</v>
      </c>
    </row>
    <row r="1027" spans="1:8" x14ac:dyDescent="0.2">
      <c r="A1027" s="2" t="s">
        <v>71</v>
      </c>
      <c r="B1027" s="4">
        <v>1</v>
      </c>
      <c r="C1027" s="5">
        <v>0.15</v>
      </c>
      <c r="D1027" s="4">
        <v>0</v>
      </c>
      <c r="E1027" s="5">
        <v>0</v>
      </c>
      <c r="F1027" s="4">
        <v>1</v>
      </c>
      <c r="G1027" s="5">
        <v>0.65</v>
      </c>
      <c r="H1027" s="4">
        <v>0</v>
      </c>
    </row>
    <row r="1028" spans="1:8" x14ac:dyDescent="0.2">
      <c r="A1028" s="2" t="s">
        <v>72</v>
      </c>
      <c r="B1028" s="4">
        <v>69</v>
      </c>
      <c r="C1028" s="5">
        <v>10.65</v>
      </c>
      <c r="D1028" s="4">
        <v>50</v>
      </c>
      <c r="E1028" s="5">
        <v>10.25</v>
      </c>
      <c r="F1028" s="4">
        <v>19</v>
      </c>
      <c r="G1028" s="5">
        <v>12.34</v>
      </c>
      <c r="H1028" s="4">
        <v>0</v>
      </c>
    </row>
    <row r="1029" spans="1:8" x14ac:dyDescent="0.2">
      <c r="A1029" s="2" t="s">
        <v>73</v>
      </c>
      <c r="B1029" s="4">
        <v>84</v>
      </c>
      <c r="C1029" s="5">
        <v>12.96</v>
      </c>
      <c r="D1029" s="4">
        <v>43</v>
      </c>
      <c r="E1029" s="5">
        <v>8.81</v>
      </c>
      <c r="F1029" s="4">
        <v>41</v>
      </c>
      <c r="G1029" s="5">
        <v>26.62</v>
      </c>
      <c r="H1029" s="4">
        <v>0</v>
      </c>
    </row>
    <row r="1030" spans="1:8" x14ac:dyDescent="0.2">
      <c r="A1030" s="2" t="s">
        <v>74</v>
      </c>
      <c r="B1030" s="4">
        <v>1</v>
      </c>
      <c r="C1030" s="5">
        <v>0.15</v>
      </c>
      <c r="D1030" s="4">
        <v>0</v>
      </c>
      <c r="E1030" s="5">
        <v>0</v>
      </c>
      <c r="F1030" s="4">
        <v>1</v>
      </c>
      <c r="G1030" s="5">
        <v>0.65</v>
      </c>
      <c r="H1030" s="4">
        <v>0</v>
      </c>
    </row>
    <row r="1031" spans="1:8" x14ac:dyDescent="0.2">
      <c r="A1031" s="2" t="s">
        <v>75</v>
      </c>
      <c r="B1031" s="4">
        <v>2</v>
      </c>
      <c r="C1031" s="5">
        <v>0.31</v>
      </c>
      <c r="D1031" s="4">
        <v>0</v>
      </c>
      <c r="E1031" s="5">
        <v>0</v>
      </c>
      <c r="F1031" s="4">
        <v>2</v>
      </c>
      <c r="G1031" s="5">
        <v>1.3</v>
      </c>
      <c r="H1031" s="4">
        <v>0</v>
      </c>
    </row>
    <row r="1032" spans="1:8" x14ac:dyDescent="0.2">
      <c r="A1032" s="2" t="s">
        <v>76</v>
      </c>
      <c r="B1032" s="4">
        <v>19</v>
      </c>
      <c r="C1032" s="5">
        <v>2.93</v>
      </c>
      <c r="D1032" s="4">
        <v>12</v>
      </c>
      <c r="E1032" s="5">
        <v>2.46</v>
      </c>
      <c r="F1032" s="4">
        <v>6</v>
      </c>
      <c r="G1032" s="5">
        <v>3.9</v>
      </c>
      <c r="H1032" s="4">
        <v>1</v>
      </c>
    </row>
    <row r="1033" spans="1:8" x14ac:dyDescent="0.2">
      <c r="A1033" s="2" t="s">
        <v>77</v>
      </c>
      <c r="B1033" s="4">
        <v>179</v>
      </c>
      <c r="C1033" s="5">
        <v>27.62</v>
      </c>
      <c r="D1033" s="4">
        <v>139</v>
      </c>
      <c r="E1033" s="5">
        <v>28.48</v>
      </c>
      <c r="F1033" s="4">
        <v>40</v>
      </c>
      <c r="G1033" s="5">
        <v>25.97</v>
      </c>
      <c r="H1033" s="4">
        <v>0</v>
      </c>
    </row>
    <row r="1034" spans="1:8" x14ac:dyDescent="0.2">
      <c r="A1034" s="2" t="s">
        <v>78</v>
      </c>
      <c r="B1034" s="4">
        <v>2</v>
      </c>
      <c r="C1034" s="5">
        <v>0.31</v>
      </c>
      <c r="D1034" s="4">
        <v>2</v>
      </c>
      <c r="E1034" s="5">
        <v>0.41</v>
      </c>
      <c r="F1034" s="4">
        <v>0</v>
      </c>
      <c r="G1034" s="5">
        <v>0</v>
      </c>
      <c r="H1034" s="4">
        <v>0</v>
      </c>
    </row>
    <row r="1035" spans="1:8" x14ac:dyDescent="0.2">
      <c r="A1035" s="2" t="s">
        <v>79</v>
      </c>
      <c r="B1035" s="4">
        <v>20</v>
      </c>
      <c r="C1035" s="5">
        <v>3.09</v>
      </c>
      <c r="D1035" s="4">
        <v>6</v>
      </c>
      <c r="E1035" s="5">
        <v>1.23</v>
      </c>
      <c r="F1035" s="4">
        <v>14</v>
      </c>
      <c r="G1035" s="5">
        <v>9.09</v>
      </c>
      <c r="H1035" s="4">
        <v>0</v>
      </c>
    </row>
    <row r="1036" spans="1:8" x14ac:dyDescent="0.2">
      <c r="A1036" s="2" t="s">
        <v>80</v>
      </c>
      <c r="B1036" s="4">
        <v>14</v>
      </c>
      <c r="C1036" s="5">
        <v>2.16</v>
      </c>
      <c r="D1036" s="4">
        <v>12</v>
      </c>
      <c r="E1036" s="5">
        <v>2.46</v>
      </c>
      <c r="F1036" s="4">
        <v>2</v>
      </c>
      <c r="G1036" s="5">
        <v>1.3</v>
      </c>
      <c r="H1036" s="4">
        <v>0</v>
      </c>
    </row>
    <row r="1037" spans="1:8" x14ac:dyDescent="0.2">
      <c r="A1037" s="2" t="s">
        <v>81</v>
      </c>
      <c r="B1037" s="4">
        <v>140</v>
      </c>
      <c r="C1037" s="5">
        <v>21.6</v>
      </c>
      <c r="D1037" s="4">
        <v>124</v>
      </c>
      <c r="E1037" s="5">
        <v>25.41</v>
      </c>
      <c r="F1037" s="4">
        <v>16</v>
      </c>
      <c r="G1037" s="5">
        <v>10.39</v>
      </c>
      <c r="H1037" s="4">
        <v>0</v>
      </c>
    </row>
    <row r="1038" spans="1:8" x14ac:dyDescent="0.2">
      <c r="A1038" s="2" t="s">
        <v>82</v>
      </c>
      <c r="B1038" s="4">
        <v>69</v>
      </c>
      <c r="C1038" s="5">
        <v>10.65</v>
      </c>
      <c r="D1038" s="4">
        <v>62</v>
      </c>
      <c r="E1038" s="5">
        <v>12.7</v>
      </c>
      <c r="F1038" s="4">
        <v>6</v>
      </c>
      <c r="G1038" s="5">
        <v>3.9</v>
      </c>
      <c r="H1038" s="4">
        <v>0</v>
      </c>
    </row>
    <row r="1039" spans="1:8" x14ac:dyDescent="0.2">
      <c r="A1039" s="2" t="s">
        <v>83</v>
      </c>
      <c r="B1039" s="4">
        <v>13</v>
      </c>
      <c r="C1039" s="5">
        <v>2.0099999999999998</v>
      </c>
      <c r="D1039" s="4">
        <v>10</v>
      </c>
      <c r="E1039" s="5">
        <v>2.0499999999999998</v>
      </c>
      <c r="F1039" s="4">
        <v>0</v>
      </c>
      <c r="G1039" s="5">
        <v>0</v>
      </c>
      <c r="H1039" s="4">
        <v>0</v>
      </c>
    </row>
    <row r="1040" spans="1:8" x14ac:dyDescent="0.2">
      <c r="A1040" s="2" t="s">
        <v>84</v>
      </c>
      <c r="B1040" s="4">
        <v>19</v>
      </c>
      <c r="C1040" s="5">
        <v>2.93</v>
      </c>
      <c r="D1040" s="4">
        <v>16</v>
      </c>
      <c r="E1040" s="5">
        <v>3.28</v>
      </c>
      <c r="F1040" s="4">
        <v>3</v>
      </c>
      <c r="G1040" s="5">
        <v>1.95</v>
      </c>
      <c r="H1040" s="4">
        <v>0</v>
      </c>
    </row>
    <row r="1041" spans="1:8" x14ac:dyDescent="0.2">
      <c r="A1041" s="2" t="s">
        <v>85</v>
      </c>
      <c r="B1041" s="4">
        <v>16</v>
      </c>
      <c r="C1041" s="5">
        <v>2.4700000000000002</v>
      </c>
      <c r="D1041" s="4">
        <v>12</v>
      </c>
      <c r="E1041" s="5">
        <v>2.46</v>
      </c>
      <c r="F1041" s="4">
        <v>3</v>
      </c>
      <c r="G1041" s="5">
        <v>1.95</v>
      </c>
      <c r="H1041" s="4">
        <v>0</v>
      </c>
    </row>
    <row r="1042" spans="1:8" x14ac:dyDescent="0.2">
      <c r="A1042" s="1" t="s">
        <v>65</v>
      </c>
      <c r="B1042" s="4">
        <v>554</v>
      </c>
      <c r="C1042" s="5">
        <v>99.99</v>
      </c>
      <c r="D1042" s="4">
        <v>377</v>
      </c>
      <c r="E1042" s="5">
        <v>100.02000000000001</v>
      </c>
      <c r="F1042" s="4">
        <v>169</v>
      </c>
      <c r="G1042" s="5">
        <v>99.99</v>
      </c>
      <c r="H1042" s="4">
        <v>8</v>
      </c>
    </row>
    <row r="1043" spans="1:8" x14ac:dyDescent="0.2">
      <c r="A1043" s="2" t="s">
        <v>71</v>
      </c>
      <c r="B1043" s="4">
        <v>0</v>
      </c>
      <c r="C1043" s="5">
        <v>0</v>
      </c>
      <c r="D1043" s="4">
        <v>0</v>
      </c>
      <c r="E1043" s="5">
        <v>0</v>
      </c>
      <c r="F1043" s="4">
        <v>0</v>
      </c>
      <c r="G1043" s="5">
        <v>0</v>
      </c>
      <c r="H1043" s="4">
        <v>0</v>
      </c>
    </row>
    <row r="1044" spans="1:8" x14ac:dyDescent="0.2">
      <c r="A1044" s="2" t="s">
        <v>72</v>
      </c>
      <c r="B1044" s="4">
        <v>99</v>
      </c>
      <c r="C1044" s="5">
        <v>17.87</v>
      </c>
      <c r="D1044" s="4">
        <v>58</v>
      </c>
      <c r="E1044" s="5">
        <v>15.38</v>
      </c>
      <c r="F1044" s="4">
        <v>41</v>
      </c>
      <c r="G1044" s="5">
        <v>24.26</v>
      </c>
      <c r="H1044" s="4">
        <v>0</v>
      </c>
    </row>
    <row r="1045" spans="1:8" x14ac:dyDescent="0.2">
      <c r="A1045" s="2" t="s">
        <v>73</v>
      </c>
      <c r="B1045" s="4">
        <v>42</v>
      </c>
      <c r="C1045" s="5">
        <v>7.58</v>
      </c>
      <c r="D1045" s="4">
        <v>23</v>
      </c>
      <c r="E1045" s="5">
        <v>6.1</v>
      </c>
      <c r="F1045" s="4">
        <v>19</v>
      </c>
      <c r="G1045" s="5">
        <v>11.24</v>
      </c>
      <c r="H1045" s="4">
        <v>0</v>
      </c>
    </row>
    <row r="1046" spans="1:8" x14ac:dyDescent="0.2">
      <c r="A1046" s="2" t="s">
        <v>74</v>
      </c>
      <c r="B1046" s="4">
        <v>3</v>
      </c>
      <c r="C1046" s="5">
        <v>0.54</v>
      </c>
      <c r="D1046" s="4">
        <v>1</v>
      </c>
      <c r="E1046" s="5">
        <v>0.27</v>
      </c>
      <c r="F1046" s="4">
        <v>2</v>
      </c>
      <c r="G1046" s="5">
        <v>1.18</v>
      </c>
      <c r="H1046" s="4">
        <v>0</v>
      </c>
    </row>
    <row r="1047" spans="1:8" x14ac:dyDescent="0.2">
      <c r="A1047" s="2" t="s">
        <v>75</v>
      </c>
      <c r="B1047" s="4">
        <v>3</v>
      </c>
      <c r="C1047" s="5">
        <v>0.54</v>
      </c>
      <c r="D1047" s="4">
        <v>0</v>
      </c>
      <c r="E1047" s="5">
        <v>0</v>
      </c>
      <c r="F1047" s="4">
        <v>3</v>
      </c>
      <c r="G1047" s="5">
        <v>1.78</v>
      </c>
      <c r="H1047" s="4">
        <v>0</v>
      </c>
    </row>
    <row r="1048" spans="1:8" x14ac:dyDescent="0.2">
      <c r="A1048" s="2" t="s">
        <v>76</v>
      </c>
      <c r="B1048" s="4">
        <v>6</v>
      </c>
      <c r="C1048" s="5">
        <v>1.08</v>
      </c>
      <c r="D1048" s="4">
        <v>1</v>
      </c>
      <c r="E1048" s="5">
        <v>0.27</v>
      </c>
      <c r="F1048" s="4">
        <v>4</v>
      </c>
      <c r="G1048" s="5">
        <v>2.37</v>
      </c>
      <c r="H1048" s="4">
        <v>1</v>
      </c>
    </row>
    <row r="1049" spans="1:8" x14ac:dyDescent="0.2">
      <c r="A1049" s="2" t="s">
        <v>77</v>
      </c>
      <c r="B1049" s="4">
        <v>106</v>
      </c>
      <c r="C1049" s="5">
        <v>19.13</v>
      </c>
      <c r="D1049" s="4">
        <v>71</v>
      </c>
      <c r="E1049" s="5">
        <v>18.829999999999998</v>
      </c>
      <c r="F1049" s="4">
        <v>35</v>
      </c>
      <c r="G1049" s="5">
        <v>20.71</v>
      </c>
      <c r="H1049" s="4">
        <v>0</v>
      </c>
    </row>
    <row r="1050" spans="1:8" x14ac:dyDescent="0.2">
      <c r="A1050" s="2" t="s">
        <v>78</v>
      </c>
      <c r="B1050" s="4">
        <v>2</v>
      </c>
      <c r="C1050" s="5">
        <v>0.36</v>
      </c>
      <c r="D1050" s="4">
        <v>1</v>
      </c>
      <c r="E1050" s="5">
        <v>0.27</v>
      </c>
      <c r="F1050" s="4">
        <v>1</v>
      </c>
      <c r="G1050" s="5">
        <v>0.59</v>
      </c>
      <c r="H1050" s="4">
        <v>0</v>
      </c>
    </row>
    <row r="1051" spans="1:8" x14ac:dyDescent="0.2">
      <c r="A1051" s="2" t="s">
        <v>79</v>
      </c>
      <c r="B1051" s="4">
        <v>87</v>
      </c>
      <c r="C1051" s="5">
        <v>15.7</v>
      </c>
      <c r="D1051" s="4">
        <v>72</v>
      </c>
      <c r="E1051" s="5">
        <v>19.100000000000001</v>
      </c>
      <c r="F1051" s="4">
        <v>14</v>
      </c>
      <c r="G1051" s="5">
        <v>8.2799999999999994</v>
      </c>
      <c r="H1051" s="4">
        <v>1</v>
      </c>
    </row>
    <row r="1052" spans="1:8" x14ac:dyDescent="0.2">
      <c r="A1052" s="2" t="s">
        <v>80</v>
      </c>
      <c r="B1052" s="4">
        <v>29</v>
      </c>
      <c r="C1052" s="5">
        <v>5.23</v>
      </c>
      <c r="D1052" s="4">
        <v>15</v>
      </c>
      <c r="E1052" s="5">
        <v>3.98</v>
      </c>
      <c r="F1052" s="4">
        <v>14</v>
      </c>
      <c r="G1052" s="5">
        <v>8.2799999999999994</v>
      </c>
      <c r="H1052" s="4">
        <v>0</v>
      </c>
    </row>
    <row r="1053" spans="1:8" x14ac:dyDescent="0.2">
      <c r="A1053" s="2" t="s">
        <v>81</v>
      </c>
      <c r="B1053" s="4">
        <v>54</v>
      </c>
      <c r="C1053" s="5">
        <v>9.75</v>
      </c>
      <c r="D1053" s="4">
        <v>41</v>
      </c>
      <c r="E1053" s="5">
        <v>10.88</v>
      </c>
      <c r="F1053" s="4">
        <v>13</v>
      </c>
      <c r="G1053" s="5">
        <v>7.69</v>
      </c>
      <c r="H1053" s="4">
        <v>0</v>
      </c>
    </row>
    <row r="1054" spans="1:8" x14ac:dyDescent="0.2">
      <c r="A1054" s="2" t="s">
        <v>82</v>
      </c>
      <c r="B1054" s="4">
        <v>53</v>
      </c>
      <c r="C1054" s="5">
        <v>9.57</v>
      </c>
      <c r="D1054" s="4">
        <v>47</v>
      </c>
      <c r="E1054" s="5">
        <v>12.47</v>
      </c>
      <c r="F1054" s="4">
        <v>6</v>
      </c>
      <c r="G1054" s="5">
        <v>3.55</v>
      </c>
      <c r="H1054" s="4">
        <v>0</v>
      </c>
    </row>
    <row r="1055" spans="1:8" x14ac:dyDescent="0.2">
      <c r="A1055" s="2" t="s">
        <v>83</v>
      </c>
      <c r="B1055" s="4">
        <v>36</v>
      </c>
      <c r="C1055" s="5">
        <v>6.5</v>
      </c>
      <c r="D1055" s="4">
        <v>24</v>
      </c>
      <c r="E1055" s="5">
        <v>6.37</v>
      </c>
      <c r="F1055" s="4">
        <v>9</v>
      </c>
      <c r="G1055" s="5">
        <v>5.33</v>
      </c>
      <c r="H1055" s="4">
        <v>3</v>
      </c>
    </row>
    <row r="1056" spans="1:8" x14ac:dyDescent="0.2">
      <c r="A1056" s="2" t="s">
        <v>84</v>
      </c>
      <c r="B1056" s="4">
        <v>19</v>
      </c>
      <c r="C1056" s="5">
        <v>3.43</v>
      </c>
      <c r="D1056" s="4">
        <v>17</v>
      </c>
      <c r="E1056" s="5">
        <v>4.51</v>
      </c>
      <c r="F1056" s="4">
        <v>2</v>
      </c>
      <c r="G1056" s="5">
        <v>1.18</v>
      </c>
      <c r="H1056" s="4">
        <v>0</v>
      </c>
    </row>
    <row r="1057" spans="1:8" x14ac:dyDescent="0.2">
      <c r="A1057" s="2" t="s">
        <v>85</v>
      </c>
      <c r="B1057" s="4">
        <v>15</v>
      </c>
      <c r="C1057" s="5">
        <v>2.71</v>
      </c>
      <c r="D1057" s="4">
        <v>6</v>
      </c>
      <c r="E1057" s="5">
        <v>1.59</v>
      </c>
      <c r="F1057" s="4">
        <v>6</v>
      </c>
      <c r="G1057" s="5">
        <v>3.55</v>
      </c>
      <c r="H1057" s="4">
        <v>3</v>
      </c>
    </row>
    <row r="1058" spans="1:8" x14ac:dyDescent="0.2">
      <c r="A1058" s="1" t="s">
        <v>66</v>
      </c>
      <c r="B1058" s="4">
        <v>667</v>
      </c>
      <c r="C1058" s="5">
        <v>100.01</v>
      </c>
      <c r="D1058" s="4">
        <v>371</v>
      </c>
      <c r="E1058" s="5">
        <v>99.990000000000023</v>
      </c>
      <c r="F1058" s="4">
        <v>291</v>
      </c>
      <c r="G1058" s="5">
        <v>100.00999999999999</v>
      </c>
      <c r="H1058" s="4">
        <v>0</v>
      </c>
    </row>
    <row r="1059" spans="1:8" x14ac:dyDescent="0.2">
      <c r="A1059" s="2" t="s">
        <v>71</v>
      </c>
      <c r="B1059" s="4">
        <v>0</v>
      </c>
      <c r="C1059" s="5">
        <v>0</v>
      </c>
      <c r="D1059" s="4">
        <v>0</v>
      </c>
      <c r="E1059" s="5">
        <v>0</v>
      </c>
      <c r="F1059" s="4">
        <v>0</v>
      </c>
      <c r="G1059" s="5">
        <v>0</v>
      </c>
      <c r="H1059" s="4">
        <v>0</v>
      </c>
    </row>
    <row r="1060" spans="1:8" x14ac:dyDescent="0.2">
      <c r="A1060" s="2" t="s">
        <v>72</v>
      </c>
      <c r="B1060" s="4">
        <v>116</v>
      </c>
      <c r="C1060" s="5">
        <v>17.39</v>
      </c>
      <c r="D1060" s="4">
        <v>35</v>
      </c>
      <c r="E1060" s="5">
        <v>9.43</v>
      </c>
      <c r="F1060" s="4">
        <v>81</v>
      </c>
      <c r="G1060" s="5">
        <v>27.84</v>
      </c>
      <c r="H1060" s="4">
        <v>0</v>
      </c>
    </row>
    <row r="1061" spans="1:8" x14ac:dyDescent="0.2">
      <c r="A1061" s="2" t="s">
        <v>73</v>
      </c>
      <c r="B1061" s="4">
        <v>63</v>
      </c>
      <c r="C1061" s="5">
        <v>9.4499999999999993</v>
      </c>
      <c r="D1061" s="4">
        <v>21</v>
      </c>
      <c r="E1061" s="5">
        <v>5.66</v>
      </c>
      <c r="F1061" s="4">
        <v>42</v>
      </c>
      <c r="G1061" s="5">
        <v>14.43</v>
      </c>
      <c r="H1061" s="4">
        <v>0</v>
      </c>
    </row>
    <row r="1062" spans="1:8" x14ac:dyDescent="0.2">
      <c r="A1062" s="2" t="s">
        <v>74</v>
      </c>
      <c r="B1062" s="4">
        <v>3</v>
      </c>
      <c r="C1062" s="5">
        <v>0.45</v>
      </c>
      <c r="D1062" s="4">
        <v>0</v>
      </c>
      <c r="E1062" s="5">
        <v>0</v>
      </c>
      <c r="F1062" s="4">
        <v>3</v>
      </c>
      <c r="G1062" s="5">
        <v>1.03</v>
      </c>
      <c r="H1062" s="4">
        <v>0</v>
      </c>
    </row>
    <row r="1063" spans="1:8" x14ac:dyDescent="0.2">
      <c r="A1063" s="2" t="s">
        <v>75</v>
      </c>
      <c r="B1063" s="4">
        <v>2</v>
      </c>
      <c r="C1063" s="5">
        <v>0.3</v>
      </c>
      <c r="D1063" s="4">
        <v>0</v>
      </c>
      <c r="E1063" s="5">
        <v>0</v>
      </c>
      <c r="F1063" s="4">
        <v>2</v>
      </c>
      <c r="G1063" s="5">
        <v>0.69</v>
      </c>
      <c r="H1063" s="4">
        <v>0</v>
      </c>
    </row>
    <row r="1064" spans="1:8" x14ac:dyDescent="0.2">
      <c r="A1064" s="2" t="s">
        <v>76</v>
      </c>
      <c r="B1064" s="4">
        <v>8</v>
      </c>
      <c r="C1064" s="5">
        <v>1.2</v>
      </c>
      <c r="D1064" s="4">
        <v>1</v>
      </c>
      <c r="E1064" s="5">
        <v>0.27</v>
      </c>
      <c r="F1064" s="4">
        <v>7</v>
      </c>
      <c r="G1064" s="5">
        <v>2.41</v>
      </c>
      <c r="H1064" s="4">
        <v>0</v>
      </c>
    </row>
    <row r="1065" spans="1:8" x14ac:dyDescent="0.2">
      <c r="A1065" s="2" t="s">
        <v>77</v>
      </c>
      <c r="B1065" s="4">
        <v>116</v>
      </c>
      <c r="C1065" s="5">
        <v>17.39</v>
      </c>
      <c r="D1065" s="4">
        <v>60</v>
      </c>
      <c r="E1065" s="5">
        <v>16.170000000000002</v>
      </c>
      <c r="F1065" s="4">
        <v>56</v>
      </c>
      <c r="G1065" s="5">
        <v>19.239999999999998</v>
      </c>
      <c r="H1065" s="4">
        <v>0</v>
      </c>
    </row>
    <row r="1066" spans="1:8" x14ac:dyDescent="0.2">
      <c r="A1066" s="2" t="s">
        <v>78</v>
      </c>
      <c r="B1066" s="4">
        <v>3</v>
      </c>
      <c r="C1066" s="5">
        <v>0.45</v>
      </c>
      <c r="D1066" s="4">
        <v>1</v>
      </c>
      <c r="E1066" s="5">
        <v>0.27</v>
      </c>
      <c r="F1066" s="4">
        <v>2</v>
      </c>
      <c r="G1066" s="5">
        <v>0.69</v>
      </c>
      <c r="H1066" s="4">
        <v>0</v>
      </c>
    </row>
    <row r="1067" spans="1:8" x14ac:dyDescent="0.2">
      <c r="A1067" s="2" t="s">
        <v>79</v>
      </c>
      <c r="B1067" s="4">
        <v>49</v>
      </c>
      <c r="C1067" s="5">
        <v>7.35</v>
      </c>
      <c r="D1067" s="4">
        <v>17</v>
      </c>
      <c r="E1067" s="5">
        <v>4.58</v>
      </c>
      <c r="F1067" s="4">
        <v>32</v>
      </c>
      <c r="G1067" s="5">
        <v>11</v>
      </c>
      <c r="H1067" s="4">
        <v>0</v>
      </c>
    </row>
    <row r="1068" spans="1:8" x14ac:dyDescent="0.2">
      <c r="A1068" s="2" t="s">
        <v>80</v>
      </c>
      <c r="B1068" s="4">
        <v>29</v>
      </c>
      <c r="C1068" s="5">
        <v>4.3499999999999996</v>
      </c>
      <c r="D1068" s="4">
        <v>19</v>
      </c>
      <c r="E1068" s="5">
        <v>5.12</v>
      </c>
      <c r="F1068" s="4">
        <v>10</v>
      </c>
      <c r="G1068" s="5">
        <v>3.44</v>
      </c>
      <c r="H1068" s="4">
        <v>0</v>
      </c>
    </row>
    <row r="1069" spans="1:8" x14ac:dyDescent="0.2">
      <c r="A1069" s="2" t="s">
        <v>81</v>
      </c>
      <c r="B1069" s="4">
        <v>89</v>
      </c>
      <c r="C1069" s="5">
        <v>13.34</v>
      </c>
      <c r="D1069" s="4">
        <v>77</v>
      </c>
      <c r="E1069" s="5">
        <v>20.75</v>
      </c>
      <c r="F1069" s="4">
        <v>11</v>
      </c>
      <c r="G1069" s="5">
        <v>3.78</v>
      </c>
      <c r="H1069" s="4">
        <v>0</v>
      </c>
    </row>
    <row r="1070" spans="1:8" x14ac:dyDescent="0.2">
      <c r="A1070" s="2" t="s">
        <v>82</v>
      </c>
      <c r="B1070" s="4">
        <v>93</v>
      </c>
      <c r="C1070" s="5">
        <v>13.94</v>
      </c>
      <c r="D1070" s="4">
        <v>73</v>
      </c>
      <c r="E1070" s="5">
        <v>19.68</v>
      </c>
      <c r="F1070" s="4">
        <v>20</v>
      </c>
      <c r="G1070" s="5">
        <v>6.87</v>
      </c>
      <c r="H1070" s="4">
        <v>0</v>
      </c>
    </row>
    <row r="1071" spans="1:8" x14ac:dyDescent="0.2">
      <c r="A1071" s="2" t="s">
        <v>83</v>
      </c>
      <c r="B1071" s="4">
        <v>37</v>
      </c>
      <c r="C1071" s="5">
        <v>5.55</v>
      </c>
      <c r="D1071" s="4">
        <v>30</v>
      </c>
      <c r="E1071" s="5">
        <v>8.09</v>
      </c>
      <c r="F1071" s="4">
        <v>7</v>
      </c>
      <c r="G1071" s="5">
        <v>2.41</v>
      </c>
      <c r="H1071" s="4">
        <v>0</v>
      </c>
    </row>
    <row r="1072" spans="1:8" x14ac:dyDescent="0.2">
      <c r="A1072" s="2" t="s">
        <v>84</v>
      </c>
      <c r="B1072" s="4">
        <v>26</v>
      </c>
      <c r="C1072" s="5">
        <v>3.9</v>
      </c>
      <c r="D1072" s="4">
        <v>22</v>
      </c>
      <c r="E1072" s="5">
        <v>5.93</v>
      </c>
      <c r="F1072" s="4">
        <v>3</v>
      </c>
      <c r="G1072" s="5">
        <v>1.03</v>
      </c>
      <c r="H1072" s="4">
        <v>0</v>
      </c>
    </row>
    <row r="1073" spans="1:8" x14ac:dyDescent="0.2">
      <c r="A1073" s="2" t="s">
        <v>85</v>
      </c>
      <c r="B1073" s="4">
        <v>33</v>
      </c>
      <c r="C1073" s="5">
        <v>4.95</v>
      </c>
      <c r="D1073" s="4">
        <v>15</v>
      </c>
      <c r="E1073" s="5">
        <v>4.04</v>
      </c>
      <c r="F1073" s="4">
        <v>15</v>
      </c>
      <c r="G1073" s="5">
        <v>5.15</v>
      </c>
      <c r="H1073" s="4">
        <v>0</v>
      </c>
    </row>
    <row r="1074" spans="1:8" x14ac:dyDescent="0.2">
      <c r="A1074" s="1" t="s">
        <v>67</v>
      </c>
      <c r="B1074" s="4">
        <v>680</v>
      </c>
      <c r="C1074" s="5">
        <v>100.00999999999999</v>
      </c>
      <c r="D1074" s="4">
        <v>382</v>
      </c>
      <c r="E1074" s="5">
        <v>99.97999999999999</v>
      </c>
      <c r="F1074" s="4">
        <v>289</v>
      </c>
      <c r="G1074" s="5">
        <v>99.999999999999986</v>
      </c>
      <c r="H1074" s="4">
        <v>1</v>
      </c>
    </row>
    <row r="1075" spans="1:8" x14ac:dyDescent="0.2">
      <c r="A1075" s="2" t="s">
        <v>71</v>
      </c>
      <c r="B1075" s="4">
        <v>0</v>
      </c>
      <c r="C1075" s="5">
        <v>0</v>
      </c>
      <c r="D1075" s="4">
        <v>0</v>
      </c>
      <c r="E1075" s="5">
        <v>0</v>
      </c>
      <c r="F1075" s="4">
        <v>0</v>
      </c>
      <c r="G1075" s="5">
        <v>0</v>
      </c>
      <c r="H1075" s="4">
        <v>0</v>
      </c>
    </row>
    <row r="1076" spans="1:8" x14ac:dyDescent="0.2">
      <c r="A1076" s="2" t="s">
        <v>72</v>
      </c>
      <c r="B1076" s="4">
        <v>134</v>
      </c>
      <c r="C1076" s="5">
        <v>19.71</v>
      </c>
      <c r="D1076" s="4">
        <v>42</v>
      </c>
      <c r="E1076" s="5">
        <v>10.99</v>
      </c>
      <c r="F1076" s="4">
        <v>92</v>
      </c>
      <c r="G1076" s="5">
        <v>31.83</v>
      </c>
      <c r="H1076" s="4">
        <v>0</v>
      </c>
    </row>
    <row r="1077" spans="1:8" x14ac:dyDescent="0.2">
      <c r="A1077" s="2" t="s">
        <v>73</v>
      </c>
      <c r="B1077" s="4">
        <v>92</v>
      </c>
      <c r="C1077" s="5">
        <v>13.53</v>
      </c>
      <c r="D1077" s="4">
        <v>38</v>
      </c>
      <c r="E1077" s="5">
        <v>9.9499999999999993</v>
      </c>
      <c r="F1077" s="4">
        <v>54</v>
      </c>
      <c r="G1077" s="5">
        <v>18.690000000000001</v>
      </c>
      <c r="H1077" s="4">
        <v>0</v>
      </c>
    </row>
    <row r="1078" spans="1:8" x14ac:dyDescent="0.2">
      <c r="A1078" s="2" t="s">
        <v>74</v>
      </c>
      <c r="B1078" s="4">
        <v>3</v>
      </c>
      <c r="C1078" s="5">
        <v>0.44</v>
      </c>
      <c r="D1078" s="4">
        <v>0</v>
      </c>
      <c r="E1078" s="5">
        <v>0</v>
      </c>
      <c r="F1078" s="4">
        <v>3</v>
      </c>
      <c r="G1078" s="5">
        <v>1.04</v>
      </c>
      <c r="H1078" s="4">
        <v>0</v>
      </c>
    </row>
    <row r="1079" spans="1:8" x14ac:dyDescent="0.2">
      <c r="A1079" s="2" t="s">
        <v>75</v>
      </c>
      <c r="B1079" s="4">
        <v>1</v>
      </c>
      <c r="C1079" s="5">
        <v>0.15</v>
      </c>
      <c r="D1079" s="4">
        <v>1</v>
      </c>
      <c r="E1079" s="5">
        <v>0.26</v>
      </c>
      <c r="F1079" s="4">
        <v>0</v>
      </c>
      <c r="G1079" s="5">
        <v>0</v>
      </c>
      <c r="H1079" s="4">
        <v>0</v>
      </c>
    </row>
    <row r="1080" spans="1:8" x14ac:dyDescent="0.2">
      <c r="A1080" s="2" t="s">
        <v>76</v>
      </c>
      <c r="B1080" s="4">
        <v>5</v>
      </c>
      <c r="C1080" s="5">
        <v>0.74</v>
      </c>
      <c r="D1080" s="4">
        <v>2</v>
      </c>
      <c r="E1080" s="5">
        <v>0.52</v>
      </c>
      <c r="F1080" s="4">
        <v>3</v>
      </c>
      <c r="G1080" s="5">
        <v>1.04</v>
      </c>
      <c r="H1080" s="4">
        <v>0</v>
      </c>
    </row>
    <row r="1081" spans="1:8" x14ac:dyDescent="0.2">
      <c r="A1081" s="2" t="s">
        <v>77</v>
      </c>
      <c r="B1081" s="4">
        <v>136</v>
      </c>
      <c r="C1081" s="5">
        <v>20</v>
      </c>
      <c r="D1081" s="4">
        <v>79</v>
      </c>
      <c r="E1081" s="5">
        <v>20.68</v>
      </c>
      <c r="F1081" s="4">
        <v>57</v>
      </c>
      <c r="G1081" s="5">
        <v>19.72</v>
      </c>
      <c r="H1081" s="4">
        <v>0</v>
      </c>
    </row>
    <row r="1082" spans="1:8" x14ac:dyDescent="0.2">
      <c r="A1082" s="2" t="s">
        <v>78</v>
      </c>
      <c r="B1082" s="4">
        <v>3</v>
      </c>
      <c r="C1082" s="5">
        <v>0.44</v>
      </c>
      <c r="D1082" s="4">
        <v>1</v>
      </c>
      <c r="E1082" s="5">
        <v>0.26</v>
      </c>
      <c r="F1082" s="4">
        <v>2</v>
      </c>
      <c r="G1082" s="5">
        <v>0.69</v>
      </c>
      <c r="H1082" s="4">
        <v>0</v>
      </c>
    </row>
    <row r="1083" spans="1:8" x14ac:dyDescent="0.2">
      <c r="A1083" s="2" t="s">
        <v>79</v>
      </c>
      <c r="B1083" s="4">
        <v>41</v>
      </c>
      <c r="C1083" s="5">
        <v>6.03</v>
      </c>
      <c r="D1083" s="4">
        <v>23</v>
      </c>
      <c r="E1083" s="5">
        <v>6.02</v>
      </c>
      <c r="F1083" s="4">
        <v>18</v>
      </c>
      <c r="G1083" s="5">
        <v>6.23</v>
      </c>
      <c r="H1083" s="4">
        <v>0</v>
      </c>
    </row>
    <row r="1084" spans="1:8" x14ac:dyDescent="0.2">
      <c r="A1084" s="2" t="s">
        <v>80</v>
      </c>
      <c r="B1084" s="4">
        <v>34</v>
      </c>
      <c r="C1084" s="5">
        <v>5</v>
      </c>
      <c r="D1084" s="4">
        <v>25</v>
      </c>
      <c r="E1084" s="5">
        <v>6.54</v>
      </c>
      <c r="F1084" s="4">
        <v>9</v>
      </c>
      <c r="G1084" s="5">
        <v>3.11</v>
      </c>
      <c r="H1084" s="4">
        <v>0</v>
      </c>
    </row>
    <row r="1085" spans="1:8" x14ac:dyDescent="0.2">
      <c r="A1085" s="2" t="s">
        <v>81</v>
      </c>
      <c r="B1085" s="4">
        <v>61</v>
      </c>
      <c r="C1085" s="5">
        <v>8.9700000000000006</v>
      </c>
      <c r="D1085" s="4">
        <v>51</v>
      </c>
      <c r="E1085" s="5">
        <v>13.35</v>
      </c>
      <c r="F1085" s="4">
        <v>10</v>
      </c>
      <c r="G1085" s="5">
        <v>3.46</v>
      </c>
      <c r="H1085" s="4">
        <v>0</v>
      </c>
    </row>
    <row r="1086" spans="1:8" x14ac:dyDescent="0.2">
      <c r="A1086" s="2" t="s">
        <v>82</v>
      </c>
      <c r="B1086" s="4">
        <v>91</v>
      </c>
      <c r="C1086" s="5">
        <v>13.38</v>
      </c>
      <c r="D1086" s="4">
        <v>69</v>
      </c>
      <c r="E1086" s="5">
        <v>18.059999999999999</v>
      </c>
      <c r="F1086" s="4">
        <v>22</v>
      </c>
      <c r="G1086" s="5">
        <v>7.61</v>
      </c>
      <c r="H1086" s="4">
        <v>0</v>
      </c>
    </row>
    <row r="1087" spans="1:8" x14ac:dyDescent="0.2">
      <c r="A1087" s="2" t="s">
        <v>83</v>
      </c>
      <c r="B1087" s="4">
        <v>35</v>
      </c>
      <c r="C1087" s="5">
        <v>5.15</v>
      </c>
      <c r="D1087" s="4">
        <v>27</v>
      </c>
      <c r="E1087" s="5">
        <v>7.07</v>
      </c>
      <c r="F1087" s="4">
        <v>6</v>
      </c>
      <c r="G1087" s="5">
        <v>2.08</v>
      </c>
      <c r="H1087" s="4">
        <v>1</v>
      </c>
    </row>
    <row r="1088" spans="1:8" x14ac:dyDescent="0.2">
      <c r="A1088" s="2" t="s">
        <v>84</v>
      </c>
      <c r="B1088" s="4">
        <v>26</v>
      </c>
      <c r="C1088" s="5">
        <v>3.82</v>
      </c>
      <c r="D1088" s="4">
        <v>14</v>
      </c>
      <c r="E1088" s="5">
        <v>3.66</v>
      </c>
      <c r="F1088" s="4">
        <v>6</v>
      </c>
      <c r="G1088" s="5">
        <v>2.08</v>
      </c>
      <c r="H1088" s="4">
        <v>0</v>
      </c>
    </row>
    <row r="1089" spans="1:8" x14ac:dyDescent="0.2">
      <c r="A1089" s="2" t="s">
        <v>85</v>
      </c>
      <c r="B1089" s="4">
        <v>18</v>
      </c>
      <c r="C1089" s="5">
        <v>2.65</v>
      </c>
      <c r="D1089" s="4">
        <v>10</v>
      </c>
      <c r="E1089" s="5">
        <v>2.62</v>
      </c>
      <c r="F1089" s="4">
        <v>7</v>
      </c>
      <c r="G1089" s="5">
        <v>2.42</v>
      </c>
      <c r="H1089" s="4">
        <v>0</v>
      </c>
    </row>
    <row r="1090" spans="1:8" x14ac:dyDescent="0.2">
      <c r="A1090" s="1" t="s">
        <v>68</v>
      </c>
      <c r="B1090" s="4">
        <v>161</v>
      </c>
      <c r="C1090" s="5">
        <v>100</v>
      </c>
      <c r="D1090" s="4">
        <v>98</v>
      </c>
      <c r="E1090" s="5">
        <v>100</v>
      </c>
      <c r="F1090" s="4">
        <v>55</v>
      </c>
      <c r="G1090" s="5">
        <v>100.00000000000001</v>
      </c>
      <c r="H1090" s="4">
        <v>2</v>
      </c>
    </row>
    <row r="1091" spans="1:8" x14ac:dyDescent="0.2">
      <c r="A1091" s="2" t="s">
        <v>71</v>
      </c>
      <c r="B1091" s="4">
        <v>0</v>
      </c>
      <c r="C1091" s="5">
        <v>0</v>
      </c>
      <c r="D1091" s="4">
        <v>0</v>
      </c>
      <c r="E1091" s="5">
        <v>0</v>
      </c>
      <c r="F1091" s="4">
        <v>0</v>
      </c>
      <c r="G1091" s="5">
        <v>0</v>
      </c>
      <c r="H1091" s="4">
        <v>0</v>
      </c>
    </row>
    <row r="1092" spans="1:8" x14ac:dyDescent="0.2">
      <c r="A1092" s="2" t="s">
        <v>72</v>
      </c>
      <c r="B1092" s="4">
        <v>34</v>
      </c>
      <c r="C1092" s="5">
        <v>21.12</v>
      </c>
      <c r="D1092" s="4">
        <v>17</v>
      </c>
      <c r="E1092" s="5">
        <v>17.350000000000001</v>
      </c>
      <c r="F1092" s="4">
        <v>17</v>
      </c>
      <c r="G1092" s="5">
        <v>30.91</v>
      </c>
      <c r="H1092" s="4">
        <v>0</v>
      </c>
    </row>
    <row r="1093" spans="1:8" x14ac:dyDescent="0.2">
      <c r="A1093" s="2" t="s">
        <v>73</v>
      </c>
      <c r="B1093" s="4">
        <v>12</v>
      </c>
      <c r="C1093" s="5">
        <v>7.45</v>
      </c>
      <c r="D1093" s="4">
        <v>6</v>
      </c>
      <c r="E1093" s="5">
        <v>6.12</v>
      </c>
      <c r="F1093" s="4">
        <v>6</v>
      </c>
      <c r="G1093" s="5">
        <v>10.91</v>
      </c>
      <c r="H1093" s="4">
        <v>0</v>
      </c>
    </row>
    <row r="1094" spans="1:8" x14ac:dyDescent="0.2">
      <c r="A1094" s="2" t="s">
        <v>74</v>
      </c>
      <c r="B1094" s="4">
        <v>1</v>
      </c>
      <c r="C1094" s="5">
        <v>0.62</v>
      </c>
      <c r="D1094" s="4">
        <v>0</v>
      </c>
      <c r="E1094" s="5">
        <v>0</v>
      </c>
      <c r="F1094" s="4">
        <v>1</v>
      </c>
      <c r="G1094" s="5">
        <v>1.82</v>
      </c>
      <c r="H1094" s="4">
        <v>0</v>
      </c>
    </row>
    <row r="1095" spans="1:8" x14ac:dyDescent="0.2">
      <c r="A1095" s="2" t="s">
        <v>75</v>
      </c>
      <c r="B1095" s="4">
        <v>1</v>
      </c>
      <c r="C1095" s="5">
        <v>0.62</v>
      </c>
      <c r="D1095" s="4">
        <v>0</v>
      </c>
      <c r="E1095" s="5">
        <v>0</v>
      </c>
      <c r="F1095" s="4">
        <v>1</v>
      </c>
      <c r="G1095" s="5">
        <v>1.82</v>
      </c>
      <c r="H1095" s="4">
        <v>0</v>
      </c>
    </row>
    <row r="1096" spans="1:8" x14ac:dyDescent="0.2">
      <c r="A1096" s="2" t="s">
        <v>76</v>
      </c>
      <c r="B1096" s="4">
        <v>4</v>
      </c>
      <c r="C1096" s="5">
        <v>2.48</v>
      </c>
      <c r="D1096" s="4">
        <v>1</v>
      </c>
      <c r="E1096" s="5">
        <v>1.02</v>
      </c>
      <c r="F1096" s="4">
        <v>2</v>
      </c>
      <c r="G1096" s="5">
        <v>3.64</v>
      </c>
      <c r="H1096" s="4">
        <v>1</v>
      </c>
    </row>
    <row r="1097" spans="1:8" x14ac:dyDescent="0.2">
      <c r="A1097" s="2" t="s">
        <v>77</v>
      </c>
      <c r="B1097" s="4">
        <v>42</v>
      </c>
      <c r="C1097" s="5">
        <v>26.09</v>
      </c>
      <c r="D1097" s="4">
        <v>32</v>
      </c>
      <c r="E1097" s="5">
        <v>32.65</v>
      </c>
      <c r="F1097" s="4">
        <v>9</v>
      </c>
      <c r="G1097" s="5">
        <v>16.36</v>
      </c>
      <c r="H1097" s="4">
        <v>1</v>
      </c>
    </row>
    <row r="1098" spans="1:8" x14ac:dyDescent="0.2">
      <c r="A1098" s="2" t="s">
        <v>78</v>
      </c>
      <c r="B1098" s="4">
        <v>0</v>
      </c>
      <c r="C1098" s="5">
        <v>0</v>
      </c>
      <c r="D1098" s="4">
        <v>0</v>
      </c>
      <c r="E1098" s="5">
        <v>0</v>
      </c>
      <c r="F1098" s="4">
        <v>0</v>
      </c>
      <c r="G1098" s="5">
        <v>0</v>
      </c>
      <c r="H1098" s="4">
        <v>0</v>
      </c>
    </row>
    <row r="1099" spans="1:8" x14ac:dyDescent="0.2">
      <c r="A1099" s="2" t="s">
        <v>79</v>
      </c>
      <c r="B1099" s="4">
        <v>1</v>
      </c>
      <c r="C1099" s="5">
        <v>0.62</v>
      </c>
      <c r="D1099" s="4">
        <v>0</v>
      </c>
      <c r="E1099" s="5">
        <v>0</v>
      </c>
      <c r="F1099" s="4">
        <v>1</v>
      </c>
      <c r="G1099" s="5">
        <v>1.82</v>
      </c>
      <c r="H1099" s="4">
        <v>0</v>
      </c>
    </row>
    <row r="1100" spans="1:8" x14ac:dyDescent="0.2">
      <c r="A1100" s="2" t="s">
        <v>80</v>
      </c>
      <c r="B1100" s="4">
        <v>5</v>
      </c>
      <c r="C1100" s="5">
        <v>3.11</v>
      </c>
      <c r="D1100" s="4">
        <v>2</v>
      </c>
      <c r="E1100" s="5">
        <v>2.04</v>
      </c>
      <c r="F1100" s="4">
        <v>3</v>
      </c>
      <c r="G1100" s="5">
        <v>5.45</v>
      </c>
      <c r="H1100" s="4">
        <v>0</v>
      </c>
    </row>
    <row r="1101" spans="1:8" x14ac:dyDescent="0.2">
      <c r="A1101" s="2" t="s">
        <v>81</v>
      </c>
      <c r="B1101" s="4">
        <v>21</v>
      </c>
      <c r="C1101" s="5">
        <v>13.04</v>
      </c>
      <c r="D1101" s="4">
        <v>13</v>
      </c>
      <c r="E1101" s="5">
        <v>13.27</v>
      </c>
      <c r="F1101" s="4">
        <v>5</v>
      </c>
      <c r="G1101" s="5">
        <v>9.09</v>
      </c>
      <c r="H1101" s="4">
        <v>0</v>
      </c>
    </row>
    <row r="1102" spans="1:8" x14ac:dyDescent="0.2">
      <c r="A1102" s="2" t="s">
        <v>82</v>
      </c>
      <c r="B1102" s="4">
        <v>23</v>
      </c>
      <c r="C1102" s="5">
        <v>14.29</v>
      </c>
      <c r="D1102" s="4">
        <v>17</v>
      </c>
      <c r="E1102" s="5">
        <v>17.350000000000001</v>
      </c>
      <c r="F1102" s="4">
        <v>5</v>
      </c>
      <c r="G1102" s="5">
        <v>9.09</v>
      </c>
      <c r="H1102" s="4">
        <v>0</v>
      </c>
    </row>
    <row r="1103" spans="1:8" x14ac:dyDescent="0.2">
      <c r="A1103" s="2" t="s">
        <v>83</v>
      </c>
      <c r="B1103" s="4">
        <v>1</v>
      </c>
      <c r="C1103" s="5">
        <v>0.62</v>
      </c>
      <c r="D1103" s="4">
        <v>1</v>
      </c>
      <c r="E1103" s="5">
        <v>1.02</v>
      </c>
      <c r="F1103" s="4">
        <v>0</v>
      </c>
      <c r="G1103" s="5">
        <v>0</v>
      </c>
      <c r="H1103" s="4">
        <v>0</v>
      </c>
    </row>
    <row r="1104" spans="1:8" x14ac:dyDescent="0.2">
      <c r="A1104" s="2" t="s">
        <v>84</v>
      </c>
      <c r="B1104" s="4">
        <v>9</v>
      </c>
      <c r="C1104" s="5">
        <v>5.59</v>
      </c>
      <c r="D1104" s="4">
        <v>8</v>
      </c>
      <c r="E1104" s="5">
        <v>8.16</v>
      </c>
      <c r="F1104" s="4">
        <v>0</v>
      </c>
      <c r="G1104" s="5">
        <v>0</v>
      </c>
      <c r="H1104" s="4">
        <v>0</v>
      </c>
    </row>
    <row r="1105" spans="1:8" x14ac:dyDescent="0.2">
      <c r="A1105" s="2" t="s">
        <v>85</v>
      </c>
      <c r="B1105" s="4">
        <v>7</v>
      </c>
      <c r="C1105" s="5">
        <v>4.3499999999999996</v>
      </c>
      <c r="D1105" s="4">
        <v>1</v>
      </c>
      <c r="E1105" s="5">
        <v>1.02</v>
      </c>
      <c r="F1105" s="4">
        <v>5</v>
      </c>
      <c r="G1105" s="5">
        <v>9.09</v>
      </c>
      <c r="H1105" s="4">
        <v>0</v>
      </c>
    </row>
    <row r="1106" spans="1:8" x14ac:dyDescent="0.2">
      <c r="A1106" s="1" t="s">
        <v>69</v>
      </c>
      <c r="B1106" s="4">
        <v>126</v>
      </c>
      <c r="C1106" s="5">
        <v>100</v>
      </c>
      <c r="D1106" s="4">
        <v>93</v>
      </c>
      <c r="E1106" s="5">
        <v>100.01</v>
      </c>
      <c r="F1106" s="4">
        <v>29</v>
      </c>
      <c r="G1106" s="5">
        <v>100.01000000000002</v>
      </c>
      <c r="H1106" s="4">
        <v>2</v>
      </c>
    </row>
    <row r="1107" spans="1:8" x14ac:dyDescent="0.2">
      <c r="A1107" s="2" t="s">
        <v>71</v>
      </c>
      <c r="B1107" s="4">
        <v>0</v>
      </c>
      <c r="C1107" s="5">
        <v>0</v>
      </c>
      <c r="D1107" s="4">
        <v>0</v>
      </c>
      <c r="E1107" s="5">
        <v>0</v>
      </c>
      <c r="F1107" s="4">
        <v>0</v>
      </c>
      <c r="G1107" s="5">
        <v>0</v>
      </c>
      <c r="H1107" s="4">
        <v>0</v>
      </c>
    </row>
    <row r="1108" spans="1:8" x14ac:dyDescent="0.2">
      <c r="A1108" s="2" t="s">
        <v>72</v>
      </c>
      <c r="B1108" s="4">
        <v>28</v>
      </c>
      <c r="C1108" s="5">
        <v>22.22</v>
      </c>
      <c r="D1108" s="4">
        <v>21</v>
      </c>
      <c r="E1108" s="5">
        <v>22.58</v>
      </c>
      <c r="F1108" s="4">
        <v>7</v>
      </c>
      <c r="G1108" s="5">
        <v>24.14</v>
      </c>
      <c r="H1108" s="4">
        <v>0</v>
      </c>
    </row>
    <row r="1109" spans="1:8" x14ac:dyDescent="0.2">
      <c r="A1109" s="2" t="s">
        <v>73</v>
      </c>
      <c r="B1109" s="4">
        <v>10</v>
      </c>
      <c r="C1109" s="5">
        <v>7.94</v>
      </c>
      <c r="D1109" s="4">
        <v>6</v>
      </c>
      <c r="E1109" s="5">
        <v>6.45</v>
      </c>
      <c r="F1109" s="4">
        <v>4</v>
      </c>
      <c r="G1109" s="5">
        <v>13.79</v>
      </c>
      <c r="H1109" s="4">
        <v>0</v>
      </c>
    </row>
    <row r="1110" spans="1:8" x14ac:dyDescent="0.2">
      <c r="A1110" s="2" t="s">
        <v>74</v>
      </c>
      <c r="B1110" s="4">
        <v>1</v>
      </c>
      <c r="C1110" s="5">
        <v>0.79</v>
      </c>
      <c r="D1110" s="4">
        <v>0</v>
      </c>
      <c r="E1110" s="5">
        <v>0</v>
      </c>
      <c r="F1110" s="4">
        <v>0</v>
      </c>
      <c r="G1110" s="5">
        <v>0</v>
      </c>
      <c r="H1110" s="4">
        <v>0</v>
      </c>
    </row>
    <row r="1111" spans="1:8" x14ac:dyDescent="0.2">
      <c r="A1111" s="2" t="s">
        <v>75</v>
      </c>
      <c r="B1111" s="4">
        <v>0</v>
      </c>
      <c r="C1111" s="5">
        <v>0</v>
      </c>
      <c r="D1111" s="4">
        <v>0</v>
      </c>
      <c r="E1111" s="5">
        <v>0</v>
      </c>
      <c r="F1111" s="4">
        <v>0</v>
      </c>
      <c r="G1111" s="5">
        <v>0</v>
      </c>
      <c r="H1111" s="4">
        <v>0</v>
      </c>
    </row>
    <row r="1112" spans="1:8" x14ac:dyDescent="0.2">
      <c r="A1112" s="2" t="s">
        <v>76</v>
      </c>
      <c r="B1112" s="4">
        <v>2</v>
      </c>
      <c r="C1112" s="5">
        <v>1.59</v>
      </c>
      <c r="D1112" s="4">
        <v>0</v>
      </c>
      <c r="E1112" s="5">
        <v>0</v>
      </c>
      <c r="F1112" s="4">
        <v>1</v>
      </c>
      <c r="G1112" s="5">
        <v>3.45</v>
      </c>
      <c r="H1112" s="4">
        <v>1</v>
      </c>
    </row>
    <row r="1113" spans="1:8" x14ac:dyDescent="0.2">
      <c r="A1113" s="2" t="s">
        <v>77</v>
      </c>
      <c r="B1113" s="4">
        <v>34</v>
      </c>
      <c r="C1113" s="5">
        <v>26.98</v>
      </c>
      <c r="D1113" s="4">
        <v>28</v>
      </c>
      <c r="E1113" s="5">
        <v>30.11</v>
      </c>
      <c r="F1113" s="4">
        <v>6</v>
      </c>
      <c r="G1113" s="5">
        <v>20.69</v>
      </c>
      <c r="H1113" s="4">
        <v>0</v>
      </c>
    </row>
    <row r="1114" spans="1:8" x14ac:dyDescent="0.2">
      <c r="A1114" s="2" t="s">
        <v>78</v>
      </c>
      <c r="B1114" s="4">
        <v>0</v>
      </c>
      <c r="C1114" s="5">
        <v>0</v>
      </c>
      <c r="D1114" s="4">
        <v>0</v>
      </c>
      <c r="E1114" s="5">
        <v>0</v>
      </c>
      <c r="F1114" s="4">
        <v>0</v>
      </c>
      <c r="G1114" s="5">
        <v>0</v>
      </c>
      <c r="H1114" s="4">
        <v>0</v>
      </c>
    </row>
    <row r="1115" spans="1:8" x14ac:dyDescent="0.2">
      <c r="A1115" s="2" t="s">
        <v>79</v>
      </c>
      <c r="B1115" s="4">
        <v>3</v>
      </c>
      <c r="C1115" s="5">
        <v>2.38</v>
      </c>
      <c r="D1115" s="4">
        <v>1</v>
      </c>
      <c r="E1115" s="5">
        <v>1.08</v>
      </c>
      <c r="F1115" s="4">
        <v>2</v>
      </c>
      <c r="G1115" s="5">
        <v>6.9</v>
      </c>
      <c r="H1115" s="4">
        <v>0</v>
      </c>
    </row>
    <row r="1116" spans="1:8" x14ac:dyDescent="0.2">
      <c r="A1116" s="2" t="s">
        <v>80</v>
      </c>
      <c r="B1116" s="4">
        <v>4</v>
      </c>
      <c r="C1116" s="5">
        <v>3.17</v>
      </c>
      <c r="D1116" s="4">
        <v>3</v>
      </c>
      <c r="E1116" s="5">
        <v>3.23</v>
      </c>
      <c r="F1116" s="4">
        <v>1</v>
      </c>
      <c r="G1116" s="5">
        <v>3.45</v>
      </c>
      <c r="H1116" s="4">
        <v>0</v>
      </c>
    </row>
    <row r="1117" spans="1:8" x14ac:dyDescent="0.2">
      <c r="A1117" s="2" t="s">
        <v>81</v>
      </c>
      <c r="B1117" s="4">
        <v>21</v>
      </c>
      <c r="C1117" s="5">
        <v>16.670000000000002</v>
      </c>
      <c r="D1117" s="4">
        <v>14</v>
      </c>
      <c r="E1117" s="5">
        <v>15.05</v>
      </c>
      <c r="F1117" s="4">
        <v>6</v>
      </c>
      <c r="G1117" s="5">
        <v>20.69</v>
      </c>
      <c r="H1117" s="4">
        <v>1</v>
      </c>
    </row>
    <row r="1118" spans="1:8" x14ac:dyDescent="0.2">
      <c r="A1118" s="2" t="s">
        <v>82</v>
      </c>
      <c r="B1118" s="4">
        <v>10</v>
      </c>
      <c r="C1118" s="5">
        <v>7.94</v>
      </c>
      <c r="D1118" s="4">
        <v>9</v>
      </c>
      <c r="E1118" s="5">
        <v>9.68</v>
      </c>
      <c r="F1118" s="4">
        <v>1</v>
      </c>
      <c r="G1118" s="5">
        <v>3.45</v>
      </c>
      <c r="H1118" s="4">
        <v>0</v>
      </c>
    </row>
    <row r="1119" spans="1:8" x14ac:dyDescent="0.2">
      <c r="A1119" s="2" t="s">
        <v>83</v>
      </c>
      <c r="B1119" s="4">
        <v>5</v>
      </c>
      <c r="C1119" s="5">
        <v>3.97</v>
      </c>
      <c r="D1119" s="4">
        <v>4</v>
      </c>
      <c r="E1119" s="5">
        <v>4.3</v>
      </c>
      <c r="F1119" s="4">
        <v>0</v>
      </c>
      <c r="G1119" s="5">
        <v>0</v>
      </c>
      <c r="H1119" s="4">
        <v>0</v>
      </c>
    </row>
    <row r="1120" spans="1:8" x14ac:dyDescent="0.2">
      <c r="A1120" s="2" t="s">
        <v>84</v>
      </c>
      <c r="B1120" s="4">
        <v>6</v>
      </c>
      <c r="C1120" s="5">
        <v>4.76</v>
      </c>
      <c r="D1120" s="4">
        <v>6</v>
      </c>
      <c r="E1120" s="5">
        <v>6.45</v>
      </c>
      <c r="F1120" s="4">
        <v>0</v>
      </c>
      <c r="G1120" s="5">
        <v>0</v>
      </c>
      <c r="H1120" s="4">
        <v>0</v>
      </c>
    </row>
    <row r="1121" spans="1:8" x14ac:dyDescent="0.2">
      <c r="A1121" s="2" t="s">
        <v>85</v>
      </c>
      <c r="B1121" s="4">
        <v>2</v>
      </c>
      <c r="C1121" s="5">
        <v>1.59</v>
      </c>
      <c r="D1121" s="4">
        <v>1</v>
      </c>
      <c r="E1121" s="5">
        <v>1.08</v>
      </c>
      <c r="F1121" s="4">
        <v>1</v>
      </c>
      <c r="G1121" s="5">
        <v>3.45</v>
      </c>
      <c r="H1121" s="4">
        <v>0</v>
      </c>
    </row>
    <row r="1122" spans="1:8" x14ac:dyDescent="0.2">
      <c r="A1122" s="1" t="s">
        <v>70</v>
      </c>
      <c r="B1122" s="4">
        <v>43</v>
      </c>
      <c r="C1122" s="5">
        <v>100.01000000000002</v>
      </c>
      <c r="D1122" s="4">
        <v>28</v>
      </c>
      <c r="E1122" s="5">
        <v>99.99</v>
      </c>
      <c r="F1122" s="4">
        <v>11</v>
      </c>
      <c r="G1122" s="5">
        <v>99.990000000000009</v>
      </c>
      <c r="H1122" s="4">
        <v>3</v>
      </c>
    </row>
    <row r="1123" spans="1:8" x14ac:dyDescent="0.2">
      <c r="A1123" s="2" t="s">
        <v>71</v>
      </c>
      <c r="B1123" s="4">
        <v>0</v>
      </c>
      <c r="C1123" s="5">
        <v>0</v>
      </c>
      <c r="D1123" s="4">
        <v>0</v>
      </c>
      <c r="E1123" s="5">
        <v>0</v>
      </c>
      <c r="F1123" s="4">
        <v>0</v>
      </c>
      <c r="G1123" s="5">
        <v>0</v>
      </c>
      <c r="H1123" s="4">
        <v>0</v>
      </c>
    </row>
    <row r="1124" spans="1:8" x14ac:dyDescent="0.2">
      <c r="A1124" s="2" t="s">
        <v>72</v>
      </c>
      <c r="B1124" s="4">
        <v>5</v>
      </c>
      <c r="C1124" s="5">
        <v>11.63</v>
      </c>
      <c r="D1124" s="4">
        <v>3</v>
      </c>
      <c r="E1124" s="5">
        <v>10.71</v>
      </c>
      <c r="F1124" s="4">
        <v>2</v>
      </c>
      <c r="G1124" s="5">
        <v>18.18</v>
      </c>
      <c r="H1124" s="4">
        <v>0</v>
      </c>
    </row>
    <row r="1125" spans="1:8" x14ac:dyDescent="0.2">
      <c r="A1125" s="2" t="s">
        <v>73</v>
      </c>
      <c r="B1125" s="4">
        <v>8</v>
      </c>
      <c r="C1125" s="5">
        <v>18.600000000000001</v>
      </c>
      <c r="D1125" s="4">
        <v>2</v>
      </c>
      <c r="E1125" s="5">
        <v>7.14</v>
      </c>
      <c r="F1125" s="4">
        <v>5</v>
      </c>
      <c r="G1125" s="5">
        <v>45.45</v>
      </c>
      <c r="H1125" s="4">
        <v>1</v>
      </c>
    </row>
    <row r="1126" spans="1:8" x14ac:dyDescent="0.2">
      <c r="A1126" s="2" t="s">
        <v>74</v>
      </c>
      <c r="B1126" s="4">
        <v>0</v>
      </c>
      <c r="C1126" s="5">
        <v>0</v>
      </c>
      <c r="D1126" s="4">
        <v>0</v>
      </c>
      <c r="E1126" s="5">
        <v>0</v>
      </c>
      <c r="F1126" s="4">
        <v>0</v>
      </c>
      <c r="G1126" s="5">
        <v>0</v>
      </c>
      <c r="H1126" s="4">
        <v>0</v>
      </c>
    </row>
    <row r="1127" spans="1:8" x14ac:dyDescent="0.2">
      <c r="A1127" s="2" t="s">
        <v>75</v>
      </c>
      <c r="B1127" s="4">
        <v>0</v>
      </c>
      <c r="C1127" s="5">
        <v>0</v>
      </c>
      <c r="D1127" s="4">
        <v>0</v>
      </c>
      <c r="E1127" s="5">
        <v>0</v>
      </c>
      <c r="F1127" s="4">
        <v>0</v>
      </c>
      <c r="G1127" s="5">
        <v>0</v>
      </c>
      <c r="H1127" s="4">
        <v>0</v>
      </c>
    </row>
    <row r="1128" spans="1:8" x14ac:dyDescent="0.2">
      <c r="A1128" s="2" t="s">
        <v>76</v>
      </c>
      <c r="B1128" s="4">
        <v>1</v>
      </c>
      <c r="C1128" s="5">
        <v>2.33</v>
      </c>
      <c r="D1128" s="4">
        <v>0</v>
      </c>
      <c r="E1128" s="5">
        <v>0</v>
      </c>
      <c r="F1128" s="4">
        <v>0</v>
      </c>
      <c r="G1128" s="5">
        <v>0</v>
      </c>
      <c r="H1128" s="4">
        <v>1</v>
      </c>
    </row>
    <row r="1129" spans="1:8" x14ac:dyDescent="0.2">
      <c r="A1129" s="2" t="s">
        <v>77</v>
      </c>
      <c r="B1129" s="4">
        <v>14</v>
      </c>
      <c r="C1129" s="5">
        <v>32.56</v>
      </c>
      <c r="D1129" s="4">
        <v>13</v>
      </c>
      <c r="E1129" s="5">
        <v>46.43</v>
      </c>
      <c r="F1129" s="4">
        <v>1</v>
      </c>
      <c r="G1129" s="5">
        <v>9.09</v>
      </c>
      <c r="H1129" s="4">
        <v>0</v>
      </c>
    </row>
    <row r="1130" spans="1:8" x14ac:dyDescent="0.2">
      <c r="A1130" s="2" t="s">
        <v>78</v>
      </c>
      <c r="B1130" s="4">
        <v>0</v>
      </c>
      <c r="C1130" s="5">
        <v>0</v>
      </c>
      <c r="D1130" s="4">
        <v>0</v>
      </c>
      <c r="E1130" s="5">
        <v>0</v>
      </c>
      <c r="F1130" s="4">
        <v>0</v>
      </c>
      <c r="G1130" s="5">
        <v>0</v>
      </c>
      <c r="H1130" s="4">
        <v>0</v>
      </c>
    </row>
    <row r="1131" spans="1:8" x14ac:dyDescent="0.2">
      <c r="A1131" s="2" t="s">
        <v>79</v>
      </c>
      <c r="B1131" s="4">
        <v>2</v>
      </c>
      <c r="C1131" s="5">
        <v>4.6500000000000004</v>
      </c>
      <c r="D1131" s="4">
        <v>2</v>
      </c>
      <c r="E1131" s="5">
        <v>7.14</v>
      </c>
      <c r="F1131" s="4">
        <v>0</v>
      </c>
      <c r="G1131" s="5">
        <v>0</v>
      </c>
      <c r="H1131" s="4">
        <v>0</v>
      </c>
    </row>
    <row r="1132" spans="1:8" x14ac:dyDescent="0.2">
      <c r="A1132" s="2" t="s">
        <v>80</v>
      </c>
      <c r="B1132" s="4">
        <v>0</v>
      </c>
      <c r="C1132" s="5">
        <v>0</v>
      </c>
      <c r="D1132" s="4">
        <v>0</v>
      </c>
      <c r="E1132" s="5">
        <v>0</v>
      </c>
      <c r="F1132" s="4">
        <v>0</v>
      </c>
      <c r="G1132" s="5">
        <v>0</v>
      </c>
      <c r="H1132" s="4">
        <v>0</v>
      </c>
    </row>
    <row r="1133" spans="1:8" x14ac:dyDescent="0.2">
      <c r="A1133" s="2" t="s">
        <v>81</v>
      </c>
      <c r="B1133" s="4">
        <v>7</v>
      </c>
      <c r="C1133" s="5">
        <v>16.28</v>
      </c>
      <c r="D1133" s="4">
        <v>5</v>
      </c>
      <c r="E1133" s="5">
        <v>17.86</v>
      </c>
      <c r="F1133" s="4">
        <v>1</v>
      </c>
      <c r="G1133" s="5">
        <v>9.09</v>
      </c>
      <c r="H1133" s="4">
        <v>0</v>
      </c>
    </row>
    <row r="1134" spans="1:8" x14ac:dyDescent="0.2">
      <c r="A1134" s="2" t="s">
        <v>82</v>
      </c>
      <c r="B1134" s="4">
        <v>3</v>
      </c>
      <c r="C1134" s="5">
        <v>6.98</v>
      </c>
      <c r="D1134" s="4">
        <v>2</v>
      </c>
      <c r="E1134" s="5">
        <v>7.14</v>
      </c>
      <c r="F1134" s="4">
        <v>1</v>
      </c>
      <c r="G1134" s="5">
        <v>9.09</v>
      </c>
      <c r="H1134" s="4">
        <v>0</v>
      </c>
    </row>
    <row r="1135" spans="1:8" x14ac:dyDescent="0.2">
      <c r="A1135" s="2" t="s">
        <v>83</v>
      </c>
      <c r="B1135" s="4">
        <v>0</v>
      </c>
      <c r="C1135" s="5">
        <v>0</v>
      </c>
      <c r="D1135" s="4">
        <v>0</v>
      </c>
      <c r="E1135" s="5">
        <v>0</v>
      </c>
      <c r="F1135" s="4">
        <v>0</v>
      </c>
      <c r="G1135" s="5">
        <v>0</v>
      </c>
      <c r="H1135" s="4">
        <v>0</v>
      </c>
    </row>
    <row r="1136" spans="1:8" x14ac:dyDescent="0.2">
      <c r="A1136" s="2" t="s">
        <v>84</v>
      </c>
      <c r="B1136" s="4">
        <v>1</v>
      </c>
      <c r="C1136" s="5">
        <v>2.33</v>
      </c>
      <c r="D1136" s="4">
        <v>1</v>
      </c>
      <c r="E1136" s="5">
        <v>3.57</v>
      </c>
      <c r="F1136" s="4">
        <v>0</v>
      </c>
      <c r="G1136" s="5">
        <v>0</v>
      </c>
      <c r="H1136" s="4">
        <v>0</v>
      </c>
    </row>
    <row r="1137" spans="1:8" x14ac:dyDescent="0.2">
      <c r="A1137" s="2" t="s">
        <v>85</v>
      </c>
      <c r="B1137" s="4">
        <v>2</v>
      </c>
      <c r="C1137" s="5">
        <v>4.6500000000000004</v>
      </c>
      <c r="D1137" s="4">
        <v>0</v>
      </c>
      <c r="E1137" s="5">
        <v>0</v>
      </c>
      <c r="F1137" s="4">
        <v>1</v>
      </c>
      <c r="G1137" s="5">
        <v>9.09</v>
      </c>
      <c r="H1137" s="4">
        <v>1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4088-E0D9-47E7-B3C8-38FCB05EEE0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583</v>
      </c>
      <c r="D6" s="8">
        <v>15.4</v>
      </c>
      <c r="E6" s="12">
        <v>73</v>
      </c>
      <c r="F6" s="8">
        <v>5.03</v>
      </c>
      <c r="G6" s="12">
        <v>509</v>
      </c>
      <c r="H6" s="8">
        <v>21.84</v>
      </c>
      <c r="I6" s="12">
        <v>1</v>
      </c>
    </row>
    <row r="7" spans="2:9" ht="15" customHeight="1" x14ac:dyDescent="0.2">
      <c r="B7" t="s">
        <v>73</v>
      </c>
      <c r="C7" s="12">
        <v>592</v>
      </c>
      <c r="D7" s="8">
        <v>15.64</v>
      </c>
      <c r="E7" s="12">
        <v>118</v>
      </c>
      <c r="F7" s="8">
        <v>8.14</v>
      </c>
      <c r="G7" s="12">
        <v>474</v>
      </c>
      <c r="H7" s="8">
        <v>20.329999999999998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0.09</v>
      </c>
      <c r="I8" s="12">
        <v>0</v>
      </c>
    </row>
    <row r="9" spans="2:9" ht="15" customHeight="1" x14ac:dyDescent="0.2">
      <c r="B9" t="s">
        <v>75</v>
      </c>
      <c r="C9" s="12">
        <v>33</v>
      </c>
      <c r="D9" s="8">
        <v>0.87</v>
      </c>
      <c r="E9" s="12">
        <v>4</v>
      </c>
      <c r="F9" s="8">
        <v>0.28000000000000003</v>
      </c>
      <c r="G9" s="12">
        <v>29</v>
      </c>
      <c r="H9" s="8">
        <v>1.24</v>
      </c>
      <c r="I9" s="12">
        <v>0</v>
      </c>
    </row>
    <row r="10" spans="2:9" ht="15" customHeight="1" x14ac:dyDescent="0.2">
      <c r="B10" t="s">
        <v>76</v>
      </c>
      <c r="C10" s="12">
        <v>22</v>
      </c>
      <c r="D10" s="8">
        <v>0.57999999999999996</v>
      </c>
      <c r="E10" s="12">
        <v>8</v>
      </c>
      <c r="F10" s="8">
        <v>0.55000000000000004</v>
      </c>
      <c r="G10" s="12">
        <v>14</v>
      </c>
      <c r="H10" s="8">
        <v>0.6</v>
      </c>
      <c r="I10" s="12">
        <v>0</v>
      </c>
    </row>
    <row r="11" spans="2:9" ht="15" customHeight="1" x14ac:dyDescent="0.2">
      <c r="B11" t="s">
        <v>77</v>
      </c>
      <c r="C11" s="12">
        <v>657</v>
      </c>
      <c r="D11" s="8">
        <v>17.350000000000001</v>
      </c>
      <c r="E11" s="12">
        <v>214</v>
      </c>
      <c r="F11" s="8">
        <v>14.76</v>
      </c>
      <c r="G11" s="12">
        <v>443</v>
      </c>
      <c r="H11" s="8">
        <v>19</v>
      </c>
      <c r="I11" s="12">
        <v>0</v>
      </c>
    </row>
    <row r="12" spans="2:9" ht="15" customHeight="1" x14ac:dyDescent="0.2">
      <c r="B12" t="s">
        <v>78</v>
      </c>
      <c r="C12" s="12">
        <v>37</v>
      </c>
      <c r="D12" s="8">
        <v>0.98</v>
      </c>
      <c r="E12" s="12">
        <v>5</v>
      </c>
      <c r="F12" s="8">
        <v>0.34</v>
      </c>
      <c r="G12" s="12">
        <v>32</v>
      </c>
      <c r="H12" s="8">
        <v>1.37</v>
      </c>
      <c r="I12" s="12">
        <v>0</v>
      </c>
    </row>
    <row r="13" spans="2:9" ht="15" customHeight="1" x14ac:dyDescent="0.2">
      <c r="B13" t="s">
        <v>79</v>
      </c>
      <c r="C13" s="12">
        <v>315</v>
      </c>
      <c r="D13" s="8">
        <v>8.32</v>
      </c>
      <c r="E13" s="12">
        <v>42</v>
      </c>
      <c r="F13" s="8">
        <v>2.9</v>
      </c>
      <c r="G13" s="12">
        <v>273</v>
      </c>
      <c r="H13" s="8">
        <v>11.71</v>
      </c>
      <c r="I13" s="12">
        <v>0</v>
      </c>
    </row>
    <row r="14" spans="2:9" ht="15" customHeight="1" x14ac:dyDescent="0.2">
      <c r="B14" t="s">
        <v>80</v>
      </c>
      <c r="C14" s="12">
        <v>235</v>
      </c>
      <c r="D14" s="8">
        <v>6.21</v>
      </c>
      <c r="E14" s="12">
        <v>125</v>
      </c>
      <c r="F14" s="8">
        <v>8.6199999999999992</v>
      </c>
      <c r="G14" s="12">
        <v>110</v>
      </c>
      <c r="H14" s="8">
        <v>4.72</v>
      </c>
      <c r="I14" s="12">
        <v>0</v>
      </c>
    </row>
    <row r="15" spans="2:9" ht="15" customHeight="1" x14ac:dyDescent="0.2">
      <c r="B15" t="s">
        <v>81</v>
      </c>
      <c r="C15" s="12">
        <v>309</v>
      </c>
      <c r="D15" s="8">
        <v>8.16</v>
      </c>
      <c r="E15" s="12">
        <v>244</v>
      </c>
      <c r="F15" s="8">
        <v>16.829999999999998</v>
      </c>
      <c r="G15" s="12">
        <v>65</v>
      </c>
      <c r="H15" s="8">
        <v>2.79</v>
      </c>
      <c r="I15" s="12">
        <v>0</v>
      </c>
    </row>
    <row r="16" spans="2:9" ht="15" customHeight="1" x14ac:dyDescent="0.2">
      <c r="B16" t="s">
        <v>82</v>
      </c>
      <c r="C16" s="12">
        <v>440</v>
      </c>
      <c r="D16" s="8">
        <v>11.62</v>
      </c>
      <c r="E16" s="12">
        <v>286</v>
      </c>
      <c r="F16" s="8">
        <v>19.72</v>
      </c>
      <c r="G16" s="12">
        <v>154</v>
      </c>
      <c r="H16" s="8">
        <v>6.61</v>
      </c>
      <c r="I16" s="12">
        <v>0</v>
      </c>
    </row>
    <row r="17" spans="2:9" ht="15" customHeight="1" x14ac:dyDescent="0.2">
      <c r="B17" t="s">
        <v>83</v>
      </c>
      <c r="C17" s="12">
        <v>227</v>
      </c>
      <c r="D17" s="8">
        <v>6</v>
      </c>
      <c r="E17" s="12">
        <v>159</v>
      </c>
      <c r="F17" s="8">
        <v>10.97</v>
      </c>
      <c r="G17" s="12">
        <v>66</v>
      </c>
      <c r="H17" s="8">
        <v>2.83</v>
      </c>
      <c r="I17" s="12">
        <v>1</v>
      </c>
    </row>
    <row r="18" spans="2:9" ht="15" customHeight="1" x14ac:dyDescent="0.2">
      <c r="B18" t="s">
        <v>84</v>
      </c>
      <c r="C18" s="12">
        <v>192</v>
      </c>
      <c r="D18" s="8">
        <v>5.07</v>
      </c>
      <c r="E18" s="12">
        <v>128</v>
      </c>
      <c r="F18" s="8">
        <v>8.83</v>
      </c>
      <c r="G18" s="12">
        <v>62</v>
      </c>
      <c r="H18" s="8">
        <v>2.66</v>
      </c>
      <c r="I18" s="12">
        <v>2</v>
      </c>
    </row>
    <row r="19" spans="2:9" ht="15" customHeight="1" x14ac:dyDescent="0.2">
      <c r="B19" t="s">
        <v>85</v>
      </c>
      <c r="C19" s="12">
        <v>142</v>
      </c>
      <c r="D19" s="8">
        <v>3.75</v>
      </c>
      <c r="E19" s="12">
        <v>44</v>
      </c>
      <c r="F19" s="8">
        <v>3.03</v>
      </c>
      <c r="G19" s="12">
        <v>98</v>
      </c>
      <c r="H19" s="8">
        <v>4.2</v>
      </c>
      <c r="I19" s="12">
        <v>0</v>
      </c>
    </row>
    <row r="20" spans="2:9" ht="15" customHeight="1" x14ac:dyDescent="0.2">
      <c r="B20" s="9" t="s">
        <v>277</v>
      </c>
      <c r="C20" s="12">
        <f>SUM(LTBL_23114[総数／事業所数])</f>
        <v>3786</v>
      </c>
      <c r="E20" s="12">
        <f>SUBTOTAL(109,LTBL_23114[個人／事業所数])</f>
        <v>1450</v>
      </c>
      <c r="G20" s="12">
        <f>SUBTOTAL(109,LTBL_23114[法人／事業所数])</f>
        <v>2331</v>
      </c>
      <c r="I20" s="12">
        <f>SUBTOTAL(109,LTBL_23114[法人以外の団体／事業所数])</f>
        <v>4</v>
      </c>
    </row>
    <row r="21" spans="2:9" ht="15" customHeight="1" x14ac:dyDescent="0.2">
      <c r="E21" s="11">
        <f>LTBL_23114[[#Totals],[個人／事業所数]]/LTBL_23114[[#Totals],[総数／事業所数]]</f>
        <v>0.38298996302165872</v>
      </c>
      <c r="G21" s="11">
        <f>LTBL_23114[[#Totals],[法人／事業所数]]/LTBL_23114[[#Totals],[総数／事業所数]]</f>
        <v>0.61568938193343903</v>
      </c>
      <c r="I21" s="11">
        <f>LTBL_23114[[#Totals],[法人以外の団体／事業所数]]/LTBL_23114[[#Totals],[総数／事業所数]]</f>
        <v>1.0565240359218173E-3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340</v>
      </c>
      <c r="D24" s="8">
        <v>8.98</v>
      </c>
      <c r="E24" s="12">
        <v>257</v>
      </c>
      <c r="F24" s="8">
        <v>17.72</v>
      </c>
      <c r="G24" s="12">
        <v>83</v>
      </c>
      <c r="H24" s="8">
        <v>3.56</v>
      </c>
      <c r="I24" s="12">
        <v>0</v>
      </c>
    </row>
    <row r="25" spans="2:9" ht="15" customHeight="1" x14ac:dyDescent="0.2">
      <c r="B25" t="s">
        <v>110</v>
      </c>
      <c r="C25" s="12">
        <v>282</v>
      </c>
      <c r="D25" s="8">
        <v>7.45</v>
      </c>
      <c r="E25" s="12">
        <v>236</v>
      </c>
      <c r="F25" s="8">
        <v>16.28</v>
      </c>
      <c r="G25" s="12">
        <v>46</v>
      </c>
      <c r="H25" s="8">
        <v>1.97</v>
      </c>
      <c r="I25" s="12">
        <v>0</v>
      </c>
    </row>
    <row r="26" spans="2:9" ht="15" customHeight="1" x14ac:dyDescent="0.2">
      <c r="B26" t="s">
        <v>112</v>
      </c>
      <c r="C26" s="12">
        <v>227</v>
      </c>
      <c r="D26" s="8">
        <v>6</v>
      </c>
      <c r="E26" s="12">
        <v>159</v>
      </c>
      <c r="F26" s="8">
        <v>10.97</v>
      </c>
      <c r="G26" s="12">
        <v>66</v>
      </c>
      <c r="H26" s="8">
        <v>2.83</v>
      </c>
      <c r="I26" s="12">
        <v>1</v>
      </c>
    </row>
    <row r="27" spans="2:9" ht="15" customHeight="1" x14ac:dyDescent="0.2">
      <c r="B27" t="s">
        <v>107</v>
      </c>
      <c r="C27" s="12">
        <v>225</v>
      </c>
      <c r="D27" s="8">
        <v>5.94</v>
      </c>
      <c r="E27" s="12">
        <v>29</v>
      </c>
      <c r="F27" s="8">
        <v>2</v>
      </c>
      <c r="G27" s="12">
        <v>196</v>
      </c>
      <c r="H27" s="8">
        <v>8.41</v>
      </c>
      <c r="I27" s="12">
        <v>0</v>
      </c>
    </row>
    <row r="28" spans="2:9" ht="15" customHeight="1" x14ac:dyDescent="0.2">
      <c r="B28" t="s">
        <v>96</v>
      </c>
      <c r="C28" s="12">
        <v>205</v>
      </c>
      <c r="D28" s="8">
        <v>5.41</v>
      </c>
      <c r="E28" s="12">
        <v>17</v>
      </c>
      <c r="F28" s="8">
        <v>1.17</v>
      </c>
      <c r="G28" s="12">
        <v>188</v>
      </c>
      <c r="H28" s="8">
        <v>8.07</v>
      </c>
      <c r="I28" s="12">
        <v>0</v>
      </c>
    </row>
    <row r="29" spans="2:9" ht="15" customHeight="1" x14ac:dyDescent="0.2">
      <c r="B29" t="s">
        <v>94</v>
      </c>
      <c r="C29" s="12">
        <v>200</v>
      </c>
      <c r="D29" s="8">
        <v>5.28</v>
      </c>
      <c r="E29" s="12">
        <v>25</v>
      </c>
      <c r="F29" s="8">
        <v>1.72</v>
      </c>
      <c r="G29" s="12">
        <v>175</v>
      </c>
      <c r="H29" s="8">
        <v>7.51</v>
      </c>
      <c r="I29" s="12">
        <v>0</v>
      </c>
    </row>
    <row r="30" spans="2:9" ht="15" customHeight="1" x14ac:dyDescent="0.2">
      <c r="B30" t="s">
        <v>95</v>
      </c>
      <c r="C30" s="12">
        <v>178</v>
      </c>
      <c r="D30" s="8">
        <v>4.7</v>
      </c>
      <c r="E30" s="12">
        <v>31</v>
      </c>
      <c r="F30" s="8">
        <v>2.14</v>
      </c>
      <c r="G30" s="12">
        <v>146</v>
      </c>
      <c r="H30" s="8">
        <v>6.26</v>
      </c>
      <c r="I30" s="12">
        <v>1</v>
      </c>
    </row>
    <row r="31" spans="2:9" ht="15" customHeight="1" x14ac:dyDescent="0.2">
      <c r="B31" t="s">
        <v>105</v>
      </c>
      <c r="C31" s="12">
        <v>154</v>
      </c>
      <c r="D31" s="8">
        <v>4.07</v>
      </c>
      <c r="E31" s="12">
        <v>65</v>
      </c>
      <c r="F31" s="8">
        <v>4.4800000000000004</v>
      </c>
      <c r="G31" s="12">
        <v>89</v>
      </c>
      <c r="H31" s="8">
        <v>3.82</v>
      </c>
      <c r="I31" s="12">
        <v>0</v>
      </c>
    </row>
    <row r="32" spans="2:9" ht="15" customHeight="1" x14ac:dyDescent="0.2">
      <c r="B32" t="s">
        <v>113</v>
      </c>
      <c r="C32" s="12">
        <v>145</v>
      </c>
      <c r="D32" s="8">
        <v>3.83</v>
      </c>
      <c r="E32" s="12">
        <v>128</v>
      </c>
      <c r="F32" s="8">
        <v>8.83</v>
      </c>
      <c r="G32" s="12">
        <v>17</v>
      </c>
      <c r="H32" s="8">
        <v>0.73</v>
      </c>
      <c r="I32" s="12">
        <v>0</v>
      </c>
    </row>
    <row r="33" spans="2:9" ht="15" customHeight="1" x14ac:dyDescent="0.2">
      <c r="B33" t="s">
        <v>108</v>
      </c>
      <c r="C33" s="12">
        <v>137</v>
      </c>
      <c r="D33" s="8">
        <v>3.62</v>
      </c>
      <c r="E33" s="12">
        <v>84</v>
      </c>
      <c r="F33" s="8">
        <v>5.79</v>
      </c>
      <c r="G33" s="12">
        <v>53</v>
      </c>
      <c r="H33" s="8">
        <v>2.27</v>
      </c>
      <c r="I33" s="12">
        <v>0</v>
      </c>
    </row>
    <row r="34" spans="2:9" ht="15" customHeight="1" x14ac:dyDescent="0.2">
      <c r="B34" t="s">
        <v>97</v>
      </c>
      <c r="C34" s="12">
        <v>135</v>
      </c>
      <c r="D34" s="8">
        <v>3.57</v>
      </c>
      <c r="E34" s="12">
        <v>34</v>
      </c>
      <c r="F34" s="8">
        <v>2.34</v>
      </c>
      <c r="G34" s="12">
        <v>101</v>
      </c>
      <c r="H34" s="8">
        <v>4.33</v>
      </c>
      <c r="I34" s="12">
        <v>0</v>
      </c>
    </row>
    <row r="35" spans="2:9" ht="15" customHeight="1" x14ac:dyDescent="0.2">
      <c r="B35" t="s">
        <v>98</v>
      </c>
      <c r="C35" s="12">
        <v>124</v>
      </c>
      <c r="D35" s="8">
        <v>3.28</v>
      </c>
      <c r="E35" s="12">
        <v>24</v>
      </c>
      <c r="F35" s="8">
        <v>1.66</v>
      </c>
      <c r="G35" s="12">
        <v>100</v>
      </c>
      <c r="H35" s="8">
        <v>4.29</v>
      </c>
      <c r="I35" s="12">
        <v>0</v>
      </c>
    </row>
    <row r="36" spans="2:9" ht="15" customHeight="1" x14ac:dyDescent="0.2">
      <c r="B36" t="s">
        <v>104</v>
      </c>
      <c r="C36" s="12">
        <v>110</v>
      </c>
      <c r="D36" s="8">
        <v>2.91</v>
      </c>
      <c r="E36" s="12">
        <v>51</v>
      </c>
      <c r="F36" s="8">
        <v>3.52</v>
      </c>
      <c r="G36" s="12">
        <v>59</v>
      </c>
      <c r="H36" s="8">
        <v>2.5299999999999998</v>
      </c>
      <c r="I36" s="12">
        <v>0</v>
      </c>
    </row>
    <row r="37" spans="2:9" ht="15" customHeight="1" x14ac:dyDescent="0.2">
      <c r="B37" t="s">
        <v>102</v>
      </c>
      <c r="C37" s="12">
        <v>94</v>
      </c>
      <c r="D37" s="8">
        <v>2.48</v>
      </c>
      <c r="E37" s="12">
        <v>26</v>
      </c>
      <c r="F37" s="8">
        <v>1.79</v>
      </c>
      <c r="G37" s="12">
        <v>68</v>
      </c>
      <c r="H37" s="8">
        <v>2.92</v>
      </c>
      <c r="I37" s="12">
        <v>0</v>
      </c>
    </row>
    <row r="38" spans="2:9" ht="15" customHeight="1" x14ac:dyDescent="0.2">
      <c r="B38" t="s">
        <v>109</v>
      </c>
      <c r="C38" s="12">
        <v>88</v>
      </c>
      <c r="D38" s="8">
        <v>2.3199999999999998</v>
      </c>
      <c r="E38" s="12">
        <v>41</v>
      </c>
      <c r="F38" s="8">
        <v>2.83</v>
      </c>
      <c r="G38" s="12">
        <v>47</v>
      </c>
      <c r="H38" s="8">
        <v>2.02</v>
      </c>
      <c r="I38" s="12">
        <v>0</v>
      </c>
    </row>
    <row r="39" spans="2:9" ht="15" customHeight="1" x14ac:dyDescent="0.2">
      <c r="B39" t="s">
        <v>115</v>
      </c>
      <c r="C39" s="12">
        <v>81</v>
      </c>
      <c r="D39" s="8">
        <v>2.14</v>
      </c>
      <c r="E39" s="12">
        <v>21</v>
      </c>
      <c r="F39" s="8">
        <v>1.45</v>
      </c>
      <c r="G39" s="12">
        <v>60</v>
      </c>
      <c r="H39" s="8">
        <v>2.57</v>
      </c>
      <c r="I39" s="12">
        <v>0</v>
      </c>
    </row>
    <row r="40" spans="2:9" ht="15" customHeight="1" x14ac:dyDescent="0.2">
      <c r="B40" t="s">
        <v>106</v>
      </c>
      <c r="C40" s="12">
        <v>72</v>
      </c>
      <c r="D40" s="8">
        <v>1.9</v>
      </c>
      <c r="E40" s="12">
        <v>13</v>
      </c>
      <c r="F40" s="8">
        <v>0.9</v>
      </c>
      <c r="G40" s="12">
        <v>59</v>
      </c>
      <c r="H40" s="8">
        <v>2.5299999999999998</v>
      </c>
      <c r="I40" s="12">
        <v>0</v>
      </c>
    </row>
    <row r="41" spans="2:9" ht="15" customHeight="1" x14ac:dyDescent="0.2">
      <c r="B41" t="s">
        <v>100</v>
      </c>
      <c r="C41" s="12">
        <v>67</v>
      </c>
      <c r="D41" s="8">
        <v>1.77</v>
      </c>
      <c r="E41" s="12">
        <v>5</v>
      </c>
      <c r="F41" s="8">
        <v>0.34</v>
      </c>
      <c r="G41" s="12">
        <v>62</v>
      </c>
      <c r="H41" s="8">
        <v>2.66</v>
      </c>
      <c r="I41" s="12">
        <v>0</v>
      </c>
    </row>
    <row r="42" spans="2:9" ht="15" customHeight="1" x14ac:dyDescent="0.2">
      <c r="B42" t="s">
        <v>103</v>
      </c>
      <c r="C42" s="12">
        <v>67</v>
      </c>
      <c r="D42" s="8">
        <v>1.77</v>
      </c>
      <c r="E42" s="12">
        <v>35</v>
      </c>
      <c r="F42" s="8">
        <v>2.41</v>
      </c>
      <c r="G42" s="12">
        <v>32</v>
      </c>
      <c r="H42" s="8">
        <v>1.37</v>
      </c>
      <c r="I42" s="12">
        <v>0</v>
      </c>
    </row>
    <row r="43" spans="2:9" ht="15" customHeight="1" x14ac:dyDescent="0.2">
      <c r="B43" t="s">
        <v>124</v>
      </c>
      <c r="C43" s="12">
        <v>57</v>
      </c>
      <c r="D43" s="8">
        <v>1.51</v>
      </c>
      <c r="E43" s="12">
        <v>6</v>
      </c>
      <c r="F43" s="8">
        <v>0.41</v>
      </c>
      <c r="G43" s="12">
        <v>51</v>
      </c>
      <c r="H43" s="8">
        <v>2.19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167</v>
      </c>
      <c r="D47" s="8">
        <v>4.41</v>
      </c>
      <c r="E47" s="12">
        <v>132</v>
      </c>
      <c r="F47" s="8">
        <v>9.1</v>
      </c>
      <c r="G47" s="12">
        <v>35</v>
      </c>
      <c r="H47" s="8">
        <v>1.5</v>
      </c>
      <c r="I47" s="12">
        <v>0</v>
      </c>
    </row>
    <row r="48" spans="2:9" ht="15" customHeight="1" x14ac:dyDescent="0.2">
      <c r="B48" t="s">
        <v>170</v>
      </c>
      <c r="C48" s="12">
        <v>139</v>
      </c>
      <c r="D48" s="8">
        <v>3.67</v>
      </c>
      <c r="E48" s="12">
        <v>106</v>
      </c>
      <c r="F48" s="8">
        <v>7.31</v>
      </c>
      <c r="G48" s="12">
        <v>33</v>
      </c>
      <c r="H48" s="8">
        <v>1.42</v>
      </c>
      <c r="I48" s="12">
        <v>0</v>
      </c>
    </row>
    <row r="49" spans="2:9" ht="15" customHeight="1" x14ac:dyDescent="0.2">
      <c r="B49" t="s">
        <v>161</v>
      </c>
      <c r="C49" s="12">
        <v>108</v>
      </c>
      <c r="D49" s="8">
        <v>2.85</v>
      </c>
      <c r="E49" s="12">
        <v>16</v>
      </c>
      <c r="F49" s="8">
        <v>1.1000000000000001</v>
      </c>
      <c r="G49" s="12">
        <v>92</v>
      </c>
      <c r="H49" s="8">
        <v>3.95</v>
      </c>
      <c r="I49" s="12">
        <v>0</v>
      </c>
    </row>
    <row r="50" spans="2:9" ht="15" customHeight="1" x14ac:dyDescent="0.2">
      <c r="B50" t="s">
        <v>171</v>
      </c>
      <c r="C50" s="12">
        <v>105</v>
      </c>
      <c r="D50" s="8">
        <v>2.77</v>
      </c>
      <c r="E50" s="12">
        <v>94</v>
      </c>
      <c r="F50" s="8">
        <v>6.48</v>
      </c>
      <c r="G50" s="12">
        <v>11</v>
      </c>
      <c r="H50" s="8">
        <v>0.47</v>
      </c>
      <c r="I50" s="12">
        <v>0</v>
      </c>
    </row>
    <row r="51" spans="2:9" ht="15" customHeight="1" x14ac:dyDescent="0.2">
      <c r="B51" t="s">
        <v>167</v>
      </c>
      <c r="C51" s="12">
        <v>104</v>
      </c>
      <c r="D51" s="8">
        <v>2.75</v>
      </c>
      <c r="E51" s="12">
        <v>93</v>
      </c>
      <c r="F51" s="8">
        <v>6.41</v>
      </c>
      <c r="G51" s="12">
        <v>11</v>
      </c>
      <c r="H51" s="8">
        <v>0.47</v>
      </c>
      <c r="I51" s="12">
        <v>0</v>
      </c>
    </row>
    <row r="52" spans="2:9" ht="15" customHeight="1" x14ac:dyDescent="0.2">
      <c r="B52" t="s">
        <v>155</v>
      </c>
      <c r="C52" s="12">
        <v>87</v>
      </c>
      <c r="D52" s="8">
        <v>2.2999999999999998</v>
      </c>
      <c r="E52" s="12">
        <v>9</v>
      </c>
      <c r="F52" s="8">
        <v>0.62</v>
      </c>
      <c r="G52" s="12">
        <v>78</v>
      </c>
      <c r="H52" s="8">
        <v>3.35</v>
      </c>
      <c r="I52" s="12">
        <v>0</v>
      </c>
    </row>
    <row r="53" spans="2:9" ht="15" customHeight="1" x14ac:dyDescent="0.2">
      <c r="B53" t="s">
        <v>165</v>
      </c>
      <c r="C53" s="12">
        <v>84</v>
      </c>
      <c r="D53" s="8">
        <v>2.2200000000000002</v>
      </c>
      <c r="E53" s="12">
        <v>79</v>
      </c>
      <c r="F53" s="8">
        <v>5.45</v>
      </c>
      <c r="G53" s="12">
        <v>5</v>
      </c>
      <c r="H53" s="8">
        <v>0.21</v>
      </c>
      <c r="I53" s="12">
        <v>0</v>
      </c>
    </row>
    <row r="54" spans="2:9" ht="15" customHeight="1" x14ac:dyDescent="0.2">
      <c r="B54" t="s">
        <v>169</v>
      </c>
      <c r="C54" s="12">
        <v>80</v>
      </c>
      <c r="D54" s="8">
        <v>2.11</v>
      </c>
      <c r="E54" s="12">
        <v>53</v>
      </c>
      <c r="F54" s="8">
        <v>3.66</v>
      </c>
      <c r="G54" s="12">
        <v>27</v>
      </c>
      <c r="H54" s="8">
        <v>1.1599999999999999</v>
      </c>
      <c r="I54" s="12">
        <v>0</v>
      </c>
    </row>
    <row r="55" spans="2:9" ht="15" customHeight="1" x14ac:dyDescent="0.2">
      <c r="B55" t="s">
        <v>154</v>
      </c>
      <c r="C55" s="12">
        <v>68</v>
      </c>
      <c r="D55" s="8">
        <v>1.8</v>
      </c>
      <c r="E55" s="12">
        <v>6</v>
      </c>
      <c r="F55" s="8">
        <v>0.41</v>
      </c>
      <c r="G55" s="12">
        <v>62</v>
      </c>
      <c r="H55" s="8">
        <v>2.66</v>
      </c>
      <c r="I55" s="12">
        <v>0</v>
      </c>
    </row>
    <row r="56" spans="2:9" ht="15" customHeight="1" x14ac:dyDescent="0.2">
      <c r="B56" t="s">
        <v>156</v>
      </c>
      <c r="C56" s="12">
        <v>67</v>
      </c>
      <c r="D56" s="8">
        <v>1.77</v>
      </c>
      <c r="E56" s="12">
        <v>25</v>
      </c>
      <c r="F56" s="8">
        <v>1.72</v>
      </c>
      <c r="G56" s="12">
        <v>42</v>
      </c>
      <c r="H56" s="8">
        <v>1.8</v>
      </c>
      <c r="I56" s="12">
        <v>0</v>
      </c>
    </row>
    <row r="57" spans="2:9" ht="15" customHeight="1" x14ac:dyDescent="0.2">
      <c r="B57" t="s">
        <v>163</v>
      </c>
      <c r="C57" s="12">
        <v>64</v>
      </c>
      <c r="D57" s="8">
        <v>1.69</v>
      </c>
      <c r="E57" s="12">
        <v>47</v>
      </c>
      <c r="F57" s="8">
        <v>3.24</v>
      </c>
      <c r="G57" s="12">
        <v>17</v>
      </c>
      <c r="H57" s="8">
        <v>0.73</v>
      </c>
      <c r="I57" s="12">
        <v>0</v>
      </c>
    </row>
    <row r="58" spans="2:9" ht="15" customHeight="1" x14ac:dyDescent="0.2">
      <c r="B58" t="s">
        <v>192</v>
      </c>
      <c r="C58" s="12">
        <v>63</v>
      </c>
      <c r="D58" s="8">
        <v>1.66</v>
      </c>
      <c r="E58" s="12">
        <v>19</v>
      </c>
      <c r="F58" s="8">
        <v>1.31</v>
      </c>
      <c r="G58" s="12">
        <v>44</v>
      </c>
      <c r="H58" s="8">
        <v>1.89</v>
      </c>
      <c r="I58" s="12">
        <v>0</v>
      </c>
    </row>
    <row r="59" spans="2:9" ht="15" customHeight="1" x14ac:dyDescent="0.2">
      <c r="B59" t="s">
        <v>201</v>
      </c>
      <c r="C59" s="12">
        <v>57</v>
      </c>
      <c r="D59" s="8">
        <v>1.51</v>
      </c>
      <c r="E59" s="12">
        <v>10</v>
      </c>
      <c r="F59" s="8">
        <v>0.69</v>
      </c>
      <c r="G59" s="12">
        <v>47</v>
      </c>
      <c r="H59" s="8">
        <v>2.02</v>
      </c>
      <c r="I59" s="12">
        <v>0</v>
      </c>
    </row>
    <row r="60" spans="2:9" ht="15" customHeight="1" x14ac:dyDescent="0.2">
      <c r="B60" t="s">
        <v>152</v>
      </c>
      <c r="C60" s="12">
        <v>55</v>
      </c>
      <c r="D60" s="8">
        <v>1.45</v>
      </c>
      <c r="E60" s="12">
        <v>6</v>
      </c>
      <c r="F60" s="8">
        <v>0.41</v>
      </c>
      <c r="G60" s="12">
        <v>49</v>
      </c>
      <c r="H60" s="8">
        <v>2.1</v>
      </c>
      <c r="I60" s="12">
        <v>0</v>
      </c>
    </row>
    <row r="61" spans="2:9" ht="15" customHeight="1" x14ac:dyDescent="0.2">
      <c r="B61" t="s">
        <v>203</v>
      </c>
      <c r="C61" s="12">
        <v>54</v>
      </c>
      <c r="D61" s="8">
        <v>1.43</v>
      </c>
      <c r="E61" s="12">
        <v>4</v>
      </c>
      <c r="F61" s="8">
        <v>0.28000000000000003</v>
      </c>
      <c r="G61" s="12">
        <v>50</v>
      </c>
      <c r="H61" s="8">
        <v>2.15</v>
      </c>
      <c r="I61" s="12">
        <v>0</v>
      </c>
    </row>
    <row r="62" spans="2:9" ht="15" customHeight="1" x14ac:dyDescent="0.2">
      <c r="B62" t="s">
        <v>197</v>
      </c>
      <c r="C62" s="12">
        <v>53</v>
      </c>
      <c r="D62" s="8">
        <v>1.4</v>
      </c>
      <c r="E62" s="12">
        <v>13</v>
      </c>
      <c r="F62" s="8">
        <v>0.9</v>
      </c>
      <c r="G62" s="12">
        <v>40</v>
      </c>
      <c r="H62" s="8">
        <v>1.72</v>
      </c>
      <c r="I62" s="12">
        <v>0</v>
      </c>
    </row>
    <row r="63" spans="2:9" ht="15" customHeight="1" x14ac:dyDescent="0.2">
      <c r="B63" t="s">
        <v>204</v>
      </c>
      <c r="C63" s="12">
        <v>51</v>
      </c>
      <c r="D63" s="8">
        <v>1.35</v>
      </c>
      <c r="E63" s="12">
        <v>8</v>
      </c>
      <c r="F63" s="8">
        <v>0.55000000000000004</v>
      </c>
      <c r="G63" s="12">
        <v>43</v>
      </c>
      <c r="H63" s="8">
        <v>1.84</v>
      </c>
      <c r="I63" s="12">
        <v>0</v>
      </c>
    </row>
    <row r="64" spans="2:9" ht="15" customHeight="1" x14ac:dyDescent="0.2">
      <c r="B64" t="s">
        <v>196</v>
      </c>
      <c r="C64" s="12">
        <v>51</v>
      </c>
      <c r="D64" s="8">
        <v>1.35</v>
      </c>
      <c r="E64" s="12">
        <v>14</v>
      </c>
      <c r="F64" s="8">
        <v>0.97</v>
      </c>
      <c r="G64" s="12">
        <v>37</v>
      </c>
      <c r="H64" s="8">
        <v>1.59</v>
      </c>
      <c r="I64" s="12">
        <v>0</v>
      </c>
    </row>
    <row r="65" spans="2:9" ht="15" customHeight="1" x14ac:dyDescent="0.2">
      <c r="B65" t="s">
        <v>159</v>
      </c>
      <c r="C65" s="12">
        <v>51</v>
      </c>
      <c r="D65" s="8">
        <v>1.35</v>
      </c>
      <c r="E65" s="12">
        <v>12</v>
      </c>
      <c r="F65" s="8">
        <v>0.83</v>
      </c>
      <c r="G65" s="12">
        <v>39</v>
      </c>
      <c r="H65" s="8">
        <v>1.67</v>
      </c>
      <c r="I65" s="12">
        <v>0</v>
      </c>
    </row>
    <row r="66" spans="2:9" ht="15" customHeight="1" x14ac:dyDescent="0.2">
      <c r="B66" t="s">
        <v>160</v>
      </c>
      <c r="C66" s="12">
        <v>51</v>
      </c>
      <c r="D66" s="8">
        <v>1.35</v>
      </c>
      <c r="E66" s="12">
        <v>5</v>
      </c>
      <c r="F66" s="8">
        <v>0.34</v>
      </c>
      <c r="G66" s="12">
        <v>46</v>
      </c>
      <c r="H66" s="8">
        <v>1.97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F581-0101-4728-B5D6-0C83198539E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364</v>
      </c>
      <c r="D6" s="8">
        <v>10.94</v>
      </c>
      <c r="E6" s="12">
        <v>29</v>
      </c>
      <c r="F6" s="8">
        <v>2.4</v>
      </c>
      <c r="G6" s="12">
        <v>335</v>
      </c>
      <c r="H6" s="8">
        <v>15.84</v>
      </c>
      <c r="I6" s="12">
        <v>0</v>
      </c>
    </row>
    <row r="7" spans="2:9" ht="15" customHeight="1" x14ac:dyDescent="0.2">
      <c r="B7" t="s">
        <v>73</v>
      </c>
      <c r="C7" s="12">
        <v>79</v>
      </c>
      <c r="D7" s="8">
        <v>2.37</v>
      </c>
      <c r="E7" s="12">
        <v>12</v>
      </c>
      <c r="F7" s="8">
        <v>0.99</v>
      </c>
      <c r="G7" s="12">
        <v>67</v>
      </c>
      <c r="H7" s="8">
        <v>3.17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0.06</v>
      </c>
      <c r="E8" s="12">
        <v>0</v>
      </c>
      <c r="F8" s="8">
        <v>0</v>
      </c>
      <c r="G8" s="12">
        <v>2</v>
      </c>
      <c r="H8" s="8">
        <v>0.09</v>
      </c>
      <c r="I8" s="12">
        <v>0</v>
      </c>
    </row>
    <row r="9" spans="2:9" ht="15" customHeight="1" x14ac:dyDescent="0.2">
      <c r="B9" t="s">
        <v>75</v>
      </c>
      <c r="C9" s="12">
        <v>50</v>
      </c>
      <c r="D9" s="8">
        <v>1.5</v>
      </c>
      <c r="E9" s="12">
        <v>5</v>
      </c>
      <c r="F9" s="8">
        <v>0.41</v>
      </c>
      <c r="G9" s="12">
        <v>45</v>
      </c>
      <c r="H9" s="8">
        <v>2.13</v>
      </c>
      <c r="I9" s="12">
        <v>0</v>
      </c>
    </row>
    <row r="10" spans="2:9" ht="15" customHeight="1" x14ac:dyDescent="0.2">
      <c r="B10" t="s">
        <v>76</v>
      </c>
      <c r="C10" s="12">
        <v>13</v>
      </c>
      <c r="D10" s="8">
        <v>0.39</v>
      </c>
      <c r="E10" s="12">
        <v>5</v>
      </c>
      <c r="F10" s="8">
        <v>0.41</v>
      </c>
      <c r="G10" s="12">
        <v>8</v>
      </c>
      <c r="H10" s="8">
        <v>0.38</v>
      </c>
      <c r="I10" s="12">
        <v>0</v>
      </c>
    </row>
    <row r="11" spans="2:9" ht="15" customHeight="1" x14ac:dyDescent="0.2">
      <c r="B11" t="s">
        <v>77</v>
      </c>
      <c r="C11" s="12">
        <v>692</v>
      </c>
      <c r="D11" s="8">
        <v>20.79</v>
      </c>
      <c r="E11" s="12">
        <v>171</v>
      </c>
      <c r="F11" s="8">
        <v>14.13</v>
      </c>
      <c r="G11" s="12">
        <v>521</v>
      </c>
      <c r="H11" s="8">
        <v>24.63</v>
      </c>
      <c r="I11" s="12">
        <v>0</v>
      </c>
    </row>
    <row r="12" spans="2:9" ht="15" customHeight="1" x14ac:dyDescent="0.2">
      <c r="B12" t="s">
        <v>78</v>
      </c>
      <c r="C12" s="12">
        <v>41</v>
      </c>
      <c r="D12" s="8">
        <v>1.23</v>
      </c>
      <c r="E12" s="12">
        <v>6</v>
      </c>
      <c r="F12" s="8">
        <v>0.5</v>
      </c>
      <c r="G12" s="12">
        <v>35</v>
      </c>
      <c r="H12" s="8">
        <v>1.65</v>
      </c>
      <c r="I12" s="12">
        <v>0</v>
      </c>
    </row>
    <row r="13" spans="2:9" ht="15" customHeight="1" x14ac:dyDescent="0.2">
      <c r="B13" t="s">
        <v>79</v>
      </c>
      <c r="C13" s="12">
        <v>534</v>
      </c>
      <c r="D13" s="8">
        <v>16.05</v>
      </c>
      <c r="E13" s="12">
        <v>45</v>
      </c>
      <c r="F13" s="8">
        <v>3.72</v>
      </c>
      <c r="G13" s="12">
        <v>487</v>
      </c>
      <c r="H13" s="8">
        <v>23.03</v>
      </c>
      <c r="I13" s="12">
        <v>2</v>
      </c>
    </row>
    <row r="14" spans="2:9" ht="15" customHeight="1" x14ac:dyDescent="0.2">
      <c r="B14" t="s">
        <v>80</v>
      </c>
      <c r="C14" s="12">
        <v>288</v>
      </c>
      <c r="D14" s="8">
        <v>8.65</v>
      </c>
      <c r="E14" s="12">
        <v>121</v>
      </c>
      <c r="F14" s="8">
        <v>10</v>
      </c>
      <c r="G14" s="12">
        <v>167</v>
      </c>
      <c r="H14" s="8">
        <v>7.9</v>
      </c>
      <c r="I14" s="12">
        <v>0</v>
      </c>
    </row>
    <row r="15" spans="2:9" ht="15" customHeight="1" x14ac:dyDescent="0.2">
      <c r="B15" t="s">
        <v>81</v>
      </c>
      <c r="C15" s="12">
        <v>353</v>
      </c>
      <c r="D15" s="8">
        <v>10.61</v>
      </c>
      <c r="E15" s="12">
        <v>281</v>
      </c>
      <c r="F15" s="8">
        <v>23.22</v>
      </c>
      <c r="G15" s="12">
        <v>72</v>
      </c>
      <c r="H15" s="8">
        <v>3.4</v>
      </c>
      <c r="I15" s="12">
        <v>0</v>
      </c>
    </row>
    <row r="16" spans="2:9" ht="15" customHeight="1" x14ac:dyDescent="0.2">
      <c r="B16" t="s">
        <v>82</v>
      </c>
      <c r="C16" s="12">
        <v>419</v>
      </c>
      <c r="D16" s="8">
        <v>12.59</v>
      </c>
      <c r="E16" s="12">
        <v>274</v>
      </c>
      <c r="F16" s="8">
        <v>22.64</v>
      </c>
      <c r="G16" s="12">
        <v>145</v>
      </c>
      <c r="H16" s="8">
        <v>6.86</v>
      </c>
      <c r="I16" s="12">
        <v>0</v>
      </c>
    </row>
    <row r="17" spans="2:9" ht="15" customHeight="1" x14ac:dyDescent="0.2">
      <c r="B17" t="s">
        <v>83</v>
      </c>
      <c r="C17" s="12">
        <v>191</v>
      </c>
      <c r="D17" s="8">
        <v>5.74</v>
      </c>
      <c r="E17" s="12">
        <v>120</v>
      </c>
      <c r="F17" s="8">
        <v>9.92</v>
      </c>
      <c r="G17" s="12">
        <v>70</v>
      </c>
      <c r="H17" s="8">
        <v>3.31</v>
      </c>
      <c r="I17" s="12">
        <v>1</v>
      </c>
    </row>
    <row r="18" spans="2:9" ht="15" customHeight="1" x14ac:dyDescent="0.2">
      <c r="B18" t="s">
        <v>84</v>
      </c>
      <c r="C18" s="12">
        <v>193</v>
      </c>
      <c r="D18" s="8">
        <v>5.8</v>
      </c>
      <c r="E18" s="12">
        <v>126</v>
      </c>
      <c r="F18" s="8">
        <v>10.41</v>
      </c>
      <c r="G18" s="12">
        <v>67</v>
      </c>
      <c r="H18" s="8">
        <v>3.17</v>
      </c>
      <c r="I18" s="12">
        <v>0</v>
      </c>
    </row>
    <row r="19" spans="2:9" ht="15" customHeight="1" x14ac:dyDescent="0.2">
      <c r="B19" t="s">
        <v>85</v>
      </c>
      <c r="C19" s="12">
        <v>109</v>
      </c>
      <c r="D19" s="8">
        <v>3.28</v>
      </c>
      <c r="E19" s="12">
        <v>15</v>
      </c>
      <c r="F19" s="8">
        <v>1.24</v>
      </c>
      <c r="G19" s="12">
        <v>94</v>
      </c>
      <c r="H19" s="8">
        <v>4.4400000000000004</v>
      </c>
      <c r="I19" s="12">
        <v>0</v>
      </c>
    </row>
    <row r="20" spans="2:9" ht="15" customHeight="1" x14ac:dyDescent="0.2">
      <c r="B20" s="9" t="s">
        <v>277</v>
      </c>
      <c r="C20" s="12">
        <f>SUM(LTBL_23115[総数／事業所数])</f>
        <v>3328</v>
      </c>
      <c r="E20" s="12">
        <f>SUBTOTAL(109,LTBL_23115[個人／事業所数])</f>
        <v>1210</v>
      </c>
      <c r="G20" s="12">
        <f>SUBTOTAL(109,LTBL_23115[法人／事業所数])</f>
        <v>2115</v>
      </c>
      <c r="I20" s="12">
        <f>SUBTOTAL(109,LTBL_23115[法人以外の団体／事業所数])</f>
        <v>3</v>
      </c>
    </row>
    <row r="21" spans="2:9" ht="15" customHeight="1" x14ac:dyDescent="0.2">
      <c r="E21" s="11">
        <f>LTBL_23115[[#Totals],[個人／事業所数]]/LTBL_23115[[#Totals],[総数／事業所数]]</f>
        <v>0.36358173076923078</v>
      </c>
      <c r="G21" s="11">
        <f>LTBL_23115[[#Totals],[法人／事業所数]]/LTBL_23115[[#Totals],[総数／事業所数]]</f>
        <v>0.63551682692307687</v>
      </c>
      <c r="I21" s="11">
        <f>LTBL_23115[[#Totals],[法人以外の団体／事業所数]]/LTBL_23115[[#Totals],[総数／事業所数]]</f>
        <v>9.0144230769230774E-4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421</v>
      </c>
      <c r="D24" s="8">
        <v>12.65</v>
      </c>
      <c r="E24" s="12">
        <v>35</v>
      </c>
      <c r="F24" s="8">
        <v>2.89</v>
      </c>
      <c r="G24" s="12">
        <v>384</v>
      </c>
      <c r="H24" s="8">
        <v>18.16</v>
      </c>
      <c r="I24" s="12">
        <v>2</v>
      </c>
    </row>
    <row r="25" spans="2:9" ht="15" customHeight="1" x14ac:dyDescent="0.2">
      <c r="B25" t="s">
        <v>111</v>
      </c>
      <c r="C25" s="12">
        <v>333</v>
      </c>
      <c r="D25" s="8">
        <v>10.01</v>
      </c>
      <c r="E25" s="12">
        <v>247</v>
      </c>
      <c r="F25" s="8">
        <v>20.41</v>
      </c>
      <c r="G25" s="12">
        <v>86</v>
      </c>
      <c r="H25" s="8">
        <v>4.07</v>
      </c>
      <c r="I25" s="12">
        <v>0</v>
      </c>
    </row>
    <row r="26" spans="2:9" ht="15" customHeight="1" x14ac:dyDescent="0.2">
      <c r="B26" t="s">
        <v>110</v>
      </c>
      <c r="C26" s="12">
        <v>331</v>
      </c>
      <c r="D26" s="8">
        <v>9.9499999999999993</v>
      </c>
      <c r="E26" s="12">
        <v>278</v>
      </c>
      <c r="F26" s="8">
        <v>22.98</v>
      </c>
      <c r="G26" s="12">
        <v>53</v>
      </c>
      <c r="H26" s="8">
        <v>2.5099999999999998</v>
      </c>
      <c r="I26" s="12">
        <v>0</v>
      </c>
    </row>
    <row r="27" spans="2:9" ht="15" customHeight="1" x14ac:dyDescent="0.2">
      <c r="B27" t="s">
        <v>112</v>
      </c>
      <c r="C27" s="12">
        <v>191</v>
      </c>
      <c r="D27" s="8">
        <v>5.74</v>
      </c>
      <c r="E27" s="12">
        <v>120</v>
      </c>
      <c r="F27" s="8">
        <v>9.92</v>
      </c>
      <c r="G27" s="12">
        <v>70</v>
      </c>
      <c r="H27" s="8">
        <v>3.31</v>
      </c>
      <c r="I27" s="12">
        <v>1</v>
      </c>
    </row>
    <row r="28" spans="2:9" ht="15" customHeight="1" x14ac:dyDescent="0.2">
      <c r="B28" t="s">
        <v>108</v>
      </c>
      <c r="C28" s="12">
        <v>187</v>
      </c>
      <c r="D28" s="8">
        <v>5.62</v>
      </c>
      <c r="E28" s="12">
        <v>96</v>
      </c>
      <c r="F28" s="8">
        <v>7.93</v>
      </c>
      <c r="G28" s="12">
        <v>91</v>
      </c>
      <c r="H28" s="8">
        <v>4.3</v>
      </c>
      <c r="I28" s="12">
        <v>0</v>
      </c>
    </row>
    <row r="29" spans="2:9" ht="15" customHeight="1" x14ac:dyDescent="0.2">
      <c r="B29" t="s">
        <v>105</v>
      </c>
      <c r="C29" s="12">
        <v>156</v>
      </c>
      <c r="D29" s="8">
        <v>4.6900000000000004</v>
      </c>
      <c r="E29" s="12">
        <v>71</v>
      </c>
      <c r="F29" s="8">
        <v>5.87</v>
      </c>
      <c r="G29" s="12">
        <v>85</v>
      </c>
      <c r="H29" s="8">
        <v>4.0199999999999996</v>
      </c>
      <c r="I29" s="12">
        <v>0</v>
      </c>
    </row>
    <row r="30" spans="2:9" ht="15" customHeight="1" x14ac:dyDescent="0.2">
      <c r="B30" t="s">
        <v>113</v>
      </c>
      <c r="C30" s="12">
        <v>150</v>
      </c>
      <c r="D30" s="8">
        <v>4.51</v>
      </c>
      <c r="E30" s="12">
        <v>126</v>
      </c>
      <c r="F30" s="8">
        <v>10.41</v>
      </c>
      <c r="G30" s="12">
        <v>24</v>
      </c>
      <c r="H30" s="8">
        <v>1.1299999999999999</v>
      </c>
      <c r="I30" s="12">
        <v>0</v>
      </c>
    </row>
    <row r="31" spans="2:9" ht="15" customHeight="1" x14ac:dyDescent="0.2">
      <c r="B31" t="s">
        <v>94</v>
      </c>
      <c r="C31" s="12">
        <v>145</v>
      </c>
      <c r="D31" s="8">
        <v>4.3600000000000003</v>
      </c>
      <c r="E31" s="12">
        <v>7</v>
      </c>
      <c r="F31" s="8">
        <v>0.57999999999999996</v>
      </c>
      <c r="G31" s="12">
        <v>138</v>
      </c>
      <c r="H31" s="8">
        <v>6.52</v>
      </c>
      <c r="I31" s="12">
        <v>0</v>
      </c>
    </row>
    <row r="32" spans="2:9" ht="15" customHeight="1" x14ac:dyDescent="0.2">
      <c r="B32" t="s">
        <v>95</v>
      </c>
      <c r="C32" s="12">
        <v>134</v>
      </c>
      <c r="D32" s="8">
        <v>4.03</v>
      </c>
      <c r="E32" s="12">
        <v>17</v>
      </c>
      <c r="F32" s="8">
        <v>1.4</v>
      </c>
      <c r="G32" s="12">
        <v>117</v>
      </c>
      <c r="H32" s="8">
        <v>5.53</v>
      </c>
      <c r="I32" s="12">
        <v>0</v>
      </c>
    </row>
    <row r="33" spans="2:9" ht="15" customHeight="1" x14ac:dyDescent="0.2">
      <c r="B33" t="s">
        <v>100</v>
      </c>
      <c r="C33" s="12">
        <v>134</v>
      </c>
      <c r="D33" s="8">
        <v>4.03</v>
      </c>
      <c r="E33" s="12">
        <v>5</v>
      </c>
      <c r="F33" s="8">
        <v>0.41</v>
      </c>
      <c r="G33" s="12">
        <v>129</v>
      </c>
      <c r="H33" s="8">
        <v>6.1</v>
      </c>
      <c r="I33" s="12">
        <v>0</v>
      </c>
    </row>
    <row r="34" spans="2:9" ht="15" customHeight="1" x14ac:dyDescent="0.2">
      <c r="B34" t="s">
        <v>109</v>
      </c>
      <c r="C34" s="12">
        <v>90</v>
      </c>
      <c r="D34" s="8">
        <v>2.7</v>
      </c>
      <c r="E34" s="12">
        <v>24</v>
      </c>
      <c r="F34" s="8">
        <v>1.98</v>
      </c>
      <c r="G34" s="12">
        <v>66</v>
      </c>
      <c r="H34" s="8">
        <v>3.12</v>
      </c>
      <c r="I34" s="12">
        <v>0</v>
      </c>
    </row>
    <row r="35" spans="2:9" ht="15" customHeight="1" x14ac:dyDescent="0.2">
      <c r="B35" t="s">
        <v>106</v>
      </c>
      <c r="C35" s="12">
        <v>87</v>
      </c>
      <c r="D35" s="8">
        <v>2.61</v>
      </c>
      <c r="E35" s="12">
        <v>8</v>
      </c>
      <c r="F35" s="8">
        <v>0.66</v>
      </c>
      <c r="G35" s="12">
        <v>79</v>
      </c>
      <c r="H35" s="8">
        <v>3.74</v>
      </c>
      <c r="I35" s="12">
        <v>0</v>
      </c>
    </row>
    <row r="36" spans="2:9" ht="15" customHeight="1" x14ac:dyDescent="0.2">
      <c r="B36" t="s">
        <v>96</v>
      </c>
      <c r="C36" s="12">
        <v>85</v>
      </c>
      <c r="D36" s="8">
        <v>2.5499999999999998</v>
      </c>
      <c r="E36" s="12">
        <v>5</v>
      </c>
      <c r="F36" s="8">
        <v>0.41</v>
      </c>
      <c r="G36" s="12">
        <v>80</v>
      </c>
      <c r="H36" s="8">
        <v>3.78</v>
      </c>
      <c r="I36" s="12">
        <v>0</v>
      </c>
    </row>
    <row r="37" spans="2:9" ht="15" customHeight="1" x14ac:dyDescent="0.2">
      <c r="B37" t="s">
        <v>101</v>
      </c>
      <c r="C37" s="12">
        <v>71</v>
      </c>
      <c r="D37" s="8">
        <v>2.13</v>
      </c>
      <c r="E37" s="12">
        <v>2</v>
      </c>
      <c r="F37" s="8">
        <v>0.17</v>
      </c>
      <c r="G37" s="12">
        <v>69</v>
      </c>
      <c r="H37" s="8">
        <v>3.26</v>
      </c>
      <c r="I37" s="12">
        <v>0</v>
      </c>
    </row>
    <row r="38" spans="2:9" ht="15" customHeight="1" x14ac:dyDescent="0.2">
      <c r="B38" t="s">
        <v>102</v>
      </c>
      <c r="C38" s="12">
        <v>64</v>
      </c>
      <c r="D38" s="8">
        <v>1.92</v>
      </c>
      <c r="E38" s="12">
        <v>28</v>
      </c>
      <c r="F38" s="8">
        <v>2.31</v>
      </c>
      <c r="G38" s="12">
        <v>36</v>
      </c>
      <c r="H38" s="8">
        <v>1.7</v>
      </c>
      <c r="I38" s="12">
        <v>0</v>
      </c>
    </row>
    <row r="39" spans="2:9" ht="15" customHeight="1" x14ac:dyDescent="0.2">
      <c r="B39" t="s">
        <v>114</v>
      </c>
      <c r="C39" s="12">
        <v>60</v>
      </c>
      <c r="D39" s="8">
        <v>1.8</v>
      </c>
      <c r="E39" s="12">
        <v>4</v>
      </c>
      <c r="F39" s="8">
        <v>0.33</v>
      </c>
      <c r="G39" s="12">
        <v>56</v>
      </c>
      <c r="H39" s="8">
        <v>2.65</v>
      </c>
      <c r="I39" s="12">
        <v>0</v>
      </c>
    </row>
    <row r="40" spans="2:9" ht="15" customHeight="1" x14ac:dyDescent="0.2">
      <c r="B40" t="s">
        <v>103</v>
      </c>
      <c r="C40" s="12">
        <v>58</v>
      </c>
      <c r="D40" s="8">
        <v>1.74</v>
      </c>
      <c r="E40" s="12">
        <v>33</v>
      </c>
      <c r="F40" s="8">
        <v>2.73</v>
      </c>
      <c r="G40" s="12">
        <v>25</v>
      </c>
      <c r="H40" s="8">
        <v>1.18</v>
      </c>
      <c r="I40" s="12">
        <v>0</v>
      </c>
    </row>
    <row r="41" spans="2:9" ht="15" customHeight="1" x14ac:dyDescent="0.2">
      <c r="B41" t="s">
        <v>104</v>
      </c>
      <c r="C41" s="12">
        <v>58</v>
      </c>
      <c r="D41" s="8">
        <v>1.74</v>
      </c>
      <c r="E41" s="12">
        <v>18</v>
      </c>
      <c r="F41" s="8">
        <v>1.49</v>
      </c>
      <c r="G41" s="12">
        <v>40</v>
      </c>
      <c r="H41" s="8">
        <v>1.89</v>
      </c>
      <c r="I41" s="12">
        <v>0</v>
      </c>
    </row>
    <row r="42" spans="2:9" ht="15" customHeight="1" x14ac:dyDescent="0.2">
      <c r="B42" t="s">
        <v>99</v>
      </c>
      <c r="C42" s="12">
        <v>56</v>
      </c>
      <c r="D42" s="8">
        <v>1.68</v>
      </c>
      <c r="E42" s="12">
        <v>4</v>
      </c>
      <c r="F42" s="8">
        <v>0.33</v>
      </c>
      <c r="G42" s="12">
        <v>52</v>
      </c>
      <c r="H42" s="8">
        <v>2.46</v>
      </c>
      <c r="I42" s="12">
        <v>0</v>
      </c>
    </row>
    <row r="43" spans="2:9" ht="15" customHeight="1" x14ac:dyDescent="0.2">
      <c r="B43" t="s">
        <v>115</v>
      </c>
      <c r="C43" s="12">
        <v>53</v>
      </c>
      <c r="D43" s="8">
        <v>1.59</v>
      </c>
      <c r="E43" s="12">
        <v>13</v>
      </c>
      <c r="F43" s="8">
        <v>1.07</v>
      </c>
      <c r="G43" s="12">
        <v>40</v>
      </c>
      <c r="H43" s="8">
        <v>1.89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245</v>
      </c>
      <c r="D47" s="8">
        <v>7.36</v>
      </c>
      <c r="E47" s="12">
        <v>28</v>
      </c>
      <c r="F47" s="8">
        <v>2.31</v>
      </c>
      <c r="G47" s="12">
        <v>217</v>
      </c>
      <c r="H47" s="8">
        <v>10.26</v>
      </c>
      <c r="I47" s="12">
        <v>0</v>
      </c>
    </row>
    <row r="48" spans="2:9" ht="15" customHeight="1" x14ac:dyDescent="0.2">
      <c r="B48" t="s">
        <v>168</v>
      </c>
      <c r="C48" s="12">
        <v>169</v>
      </c>
      <c r="D48" s="8">
        <v>5.08</v>
      </c>
      <c r="E48" s="12">
        <v>137</v>
      </c>
      <c r="F48" s="8">
        <v>11.32</v>
      </c>
      <c r="G48" s="12">
        <v>32</v>
      </c>
      <c r="H48" s="8">
        <v>1.51</v>
      </c>
      <c r="I48" s="12">
        <v>0</v>
      </c>
    </row>
    <row r="49" spans="2:9" ht="15" customHeight="1" x14ac:dyDescent="0.2">
      <c r="B49" t="s">
        <v>170</v>
      </c>
      <c r="C49" s="12">
        <v>125</v>
      </c>
      <c r="D49" s="8">
        <v>3.76</v>
      </c>
      <c r="E49" s="12">
        <v>95</v>
      </c>
      <c r="F49" s="8">
        <v>7.85</v>
      </c>
      <c r="G49" s="12">
        <v>29</v>
      </c>
      <c r="H49" s="8">
        <v>1.37</v>
      </c>
      <c r="I49" s="12">
        <v>1</v>
      </c>
    </row>
    <row r="50" spans="2:9" ht="15" customHeight="1" x14ac:dyDescent="0.2">
      <c r="B50" t="s">
        <v>163</v>
      </c>
      <c r="C50" s="12">
        <v>104</v>
      </c>
      <c r="D50" s="8">
        <v>3.13</v>
      </c>
      <c r="E50" s="12">
        <v>78</v>
      </c>
      <c r="F50" s="8">
        <v>6.45</v>
      </c>
      <c r="G50" s="12">
        <v>26</v>
      </c>
      <c r="H50" s="8">
        <v>1.23</v>
      </c>
      <c r="I50" s="12">
        <v>0</v>
      </c>
    </row>
    <row r="51" spans="2:9" ht="15" customHeight="1" x14ac:dyDescent="0.2">
      <c r="B51" t="s">
        <v>171</v>
      </c>
      <c r="C51" s="12">
        <v>104</v>
      </c>
      <c r="D51" s="8">
        <v>3.13</v>
      </c>
      <c r="E51" s="12">
        <v>85</v>
      </c>
      <c r="F51" s="8">
        <v>7.02</v>
      </c>
      <c r="G51" s="12">
        <v>19</v>
      </c>
      <c r="H51" s="8">
        <v>0.9</v>
      </c>
      <c r="I51" s="12">
        <v>0</v>
      </c>
    </row>
    <row r="52" spans="2:9" ht="15" customHeight="1" x14ac:dyDescent="0.2">
      <c r="B52" t="s">
        <v>160</v>
      </c>
      <c r="C52" s="12">
        <v>87</v>
      </c>
      <c r="D52" s="8">
        <v>2.61</v>
      </c>
      <c r="E52" s="12">
        <v>6</v>
      </c>
      <c r="F52" s="8">
        <v>0.5</v>
      </c>
      <c r="G52" s="12">
        <v>81</v>
      </c>
      <c r="H52" s="8">
        <v>3.83</v>
      </c>
      <c r="I52" s="12">
        <v>0</v>
      </c>
    </row>
    <row r="53" spans="2:9" ht="15" customHeight="1" x14ac:dyDescent="0.2">
      <c r="B53" t="s">
        <v>167</v>
      </c>
      <c r="C53" s="12">
        <v>81</v>
      </c>
      <c r="D53" s="8">
        <v>2.4300000000000002</v>
      </c>
      <c r="E53" s="12">
        <v>74</v>
      </c>
      <c r="F53" s="8">
        <v>6.12</v>
      </c>
      <c r="G53" s="12">
        <v>7</v>
      </c>
      <c r="H53" s="8">
        <v>0.33</v>
      </c>
      <c r="I53" s="12">
        <v>0</v>
      </c>
    </row>
    <row r="54" spans="2:9" ht="15" customHeight="1" x14ac:dyDescent="0.2">
      <c r="B54" t="s">
        <v>165</v>
      </c>
      <c r="C54" s="12">
        <v>74</v>
      </c>
      <c r="D54" s="8">
        <v>2.2200000000000002</v>
      </c>
      <c r="E54" s="12">
        <v>65</v>
      </c>
      <c r="F54" s="8">
        <v>5.37</v>
      </c>
      <c r="G54" s="12">
        <v>9</v>
      </c>
      <c r="H54" s="8">
        <v>0.43</v>
      </c>
      <c r="I54" s="12">
        <v>0</v>
      </c>
    </row>
    <row r="55" spans="2:9" ht="15" customHeight="1" x14ac:dyDescent="0.2">
      <c r="B55" t="s">
        <v>164</v>
      </c>
      <c r="C55" s="12">
        <v>73</v>
      </c>
      <c r="D55" s="8">
        <v>2.19</v>
      </c>
      <c r="E55" s="12">
        <v>64</v>
      </c>
      <c r="F55" s="8">
        <v>5.29</v>
      </c>
      <c r="G55" s="12">
        <v>9</v>
      </c>
      <c r="H55" s="8">
        <v>0.43</v>
      </c>
      <c r="I55" s="12">
        <v>0</v>
      </c>
    </row>
    <row r="56" spans="2:9" ht="15" customHeight="1" x14ac:dyDescent="0.2">
      <c r="B56" t="s">
        <v>159</v>
      </c>
      <c r="C56" s="12">
        <v>68</v>
      </c>
      <c r="D56" s="8">
        <v>2.04</v>
      </c>
      <c r="E56" s="12">
        <v>7</v>
      </c>
      <c r="F56" s="8">
        <v>0.57999999999999996</v>
      </c>
      <c r="G56" s="12">
        <v>61</v>
      </c>
      <c r="H56" s="8">
        <v>2.88</v>
      </c>
      <c r="I56" s="12">
        <v>0</v>
      </c>
    </row>
    <row r="57" spans="2:9" ht="15" customHeight="1" x14ac:dyDescent="0.2">
      <c r="B57" t="s">
        <v>174</v>
      </c>
      <c r="C57" s="12">
        <v>68</v>
      </c>
      <c r="D57" s="8">
        <v>2.04</v>
      </c>
      <c r="E57" s="12">
        <v>0</v>
      </c>
      <c r="F57" s="8">
        <v>0</v>
      </c>
      <c r="G57" s="12">
        <v>66</v>
      </c>
      <c r="H57" s="8">
        <v>3.12</v>
      </c>
      <c r="I57" s="12">
        <v>2</v>
      </c>
    </row>
    <row r="58" spans="2:9" ht="15" customHeight="1" x14ac:dyDescent="0.2">
      <c r="B58" t="s">
        <v>172</v>
      </c>
      <c r="C58" s="12">
        <v>63</v>
      </c>
      <c r="D58" s="8">
        <v>1.89</v>
      </c>
      <c r="E58" s="12">
        <v>3</v>
      </c>
      <c r="F58" s="8">
        <v>0.25</v>
      </c>
      <c r="G58" s="12">
        <v>60</v>
      </c>
      <c r="H58" s="8">
        <v>2.84</v>
      </c>
      <c r="I58" s="12">
        <v>0</v>
      </c>
    </row>
    <row r="59" spans="2:9" ht="15" customHeight="1" x14ac:dyDescent="0.2">
      <c r="B59" t="s">
        <v>162</v>
      </c>
      <c r="C59" s="12">
        <v>61</v>
      </c>
      <c r="D59" s="8">
        <v>1.83</v>
      </c>
      <c r="E59" s="12">
        <v>13</v>
      </c>
      <c r="F59" s="8">
        <v>1.07</v>
      </c>
      <c r="G59" s="12">
        <v>48</v>
      </c>
      <c r="H59" s="8">
        <v>2.27</v>
      </c>
      <c r="I59" s="12">
        <v>0</v>
      </c>
    </row>
    <row r="60" spans="2:9" ht="15" customHeight="1" x14ac:dyDescent="0.2">
      <c r="B60" t="s">
        <v>169</v>
      </c>
      <c r="C60" s="12">
        <v>60</v>
      </c>
      <c r="D60" s="8">
        <v>1.8</v>
      </c>
      <c r="E60" s="12">
        <v>25</v>
      </c>
      <c r="F60" s="8">
        <v>2.0699999999999998</v>
      </c>
      <c r="G60" s="12">
        <v>35</v>
      </c>
      <c r="H60" s="8">
        <v>1.65</v>
      </c>
      <c r="I60" s="12">
        <v>0</v>
      </c>
    </row>
    <row r="61" spans="2:9" ht="15" customHeight="1" x14ac:dyDescent="0.2">
      <c r="B61" t="s">
        <v>175</v>
      </c>
      <c r="C61" s="12">
        <v>54</v>
      </c>
      <c r="D61" s="8">
        <v>1.62</v>
      </c>
      <c r="E61" s="12">
        <v>53</v>
      </c>
      <c r="F61" s="8">
        <v>4.38</v>
      </c>
      <c r="G61" s="12">
        <v>1</v>
      </c>
      <c r="H61" s="8">
        <v>0.05</v>
      </c>
      <c r="I61" s="12">
        <v>0</v>
      </c>
    </row>
    <row r="62" spans="2:9" ht="15" customHeight="1" x14ac:dyDescent="0.2">
      <c r="B62" t="s">
        <v>166</v>
      </c>
      <c r="C62" s="12">
        <v>52</v>
      </c>
      <c r="D62" s="8">
        <v>1.56</v>
      </c>
      <c r="E62" s="12">
        <v>16</v>
      </c>
      <c r="F62" s="8">
        <v>1.32</v>
      </c>
      <c r="G62" s="12">
        <v>36</v>
      </c>
      <c r="H62" s="8">
        <v>1.7</v>
      </c>
      <c r="I62" s="12">
        <v>0</v>
      </c>
    </row>
    <row r="63" spans="2:9" ht="15" customHeight="1" x14ac:dyDescent="0.2">
      <c r="B63" t="s">
        <v>158</v>
      </c>
      <c r="C63" s="12">
        <v>50</v>
      </c>
      <c r="D63" s="8">
        <v>1.5</v>
      </c>
      <c r="E63" s="12">
        <v>27</v>
      </c>
      <c r="F63" s="8">
        <v>2.23</v>
      </c>
      <c r="G63" s="12">
        <v>23</v>
      </c>
      <c r="H63" s="8">
        <v>1.0900000000000001</v>
      </c>
      <c r="I63" s="12">
        <v>0</v>
      </c>
    </row>
    <row r="64" spans="2:9" ht="15" customHeight="1" x14ac:dyDescent="0.2">
      <c r="B64" t="s">
        <v>153</v>
      </c>
      <c r="C64" s="12">
        <v>47</v>
      </c>
      <c r="D64" s="8">
        <v>1.41</v>
      </c>
      <c r="E64" s="12">
        <v>1</v>
      </c>
      <c r="F64" s="8">
        <v>0.08</v>
      </c>
      <c r="G64" s="12">
        <v>46</v>
      </c>
      <c r="H64" s="8">
        <v>2.17</v>
      </c>
      <c r="I64" s="12">
        <v>0</v>
      </c>
    </row>
    <row r="65" spans="2:9" ht="15" customHeight="1" x14ac:dyDescent="0.2">
      <c r="B65" t="s">
        <v>184</v>
      </c>
      <c r="C65" s="12">
        <v>45</v>
      </c>
      <c r="D65" s="8">
        <v>1.35</v>
      </c>
      <c r="E65" s="12">
        <v>8</v>
      </c>
      <c r="F65" s="8">
        <v>0.66</v>
      </c>
      <c r="G65" s="12">
        <v>37</v>
      </c>
      <c r="H65" s="8">
        <v>1.75</v>
      </c>
      <c r="I65" s="12">
        <v>0</v>
      </c>
    </row>
    <row r="66" spans="2:9" ht="15" customHeight="1" x14ac:dyDescent="0.2">
      <c r="B66" t="s">
        <v>178</v>
      </c>
      <c r="C66" s="12">
        <v>42</v>
      </c>
      <c r="D66" s="8">
        <v>1.26</v>
      </c>
      <c r="E66" s="12">
        <v>1</v>
      </c>
      <c r="F66" s="8">
        <v>0.08</v>
      </c>
      <c r="G66" s="12">
        <v>41</v>
      </c>
      <c r="H66" s="8">
        <v>1.94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7C4D-3E3A-4A75-9D21-F6DCEE54BF7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443</v>
      </c>
      <c r="D6" s="8">
        <v>14.02</v>
      </c>
      <c r="E6" s="12">
        <v>47</v>
      </c>
      <c r="F6" s="8">
        <v>4.0199999999999996</v>
      </c>
      <c r="G6" s="12">
        <v>396</v>
      </c>
      <c r="H6" s="8">
        <v>19.93</v>
      </c>
      <c r="I6" s="12">
        <v>0</v>
      </c>
    </row>
    <row r="7" spans="2:9" ht="15" customHeight="1" x14ac:dyDescent="0.2">
      <c r="B7" t="s">
        <v>73</v>
      </c>
      <c r="C7" s="12">
        <v>282</v>
      </c>
      <c r="D7" s="8">
        <v>8.93</v>
      </c>
      <c r="E7" s="12">
        <v>54</v>
      </c>
      <c r="F7" s="8">
        <v>4.62</v>
      </c>
      <c r="G7" s="12">
        <v>228</v>
      </c>
      <c r="H7" s="8">
        <v>11.47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0.09</v>
      </c>
      <c r="E8" s="12">
        <v>0</v>
      </c>
      <c r="F8" s="8">
        <v>0</v>
      </c>
      <c r="G8" s="12">
        <v>3</v>
      </c>
      <c r="H8" s="8">
        <v>0.15</v>
      </c>
      <c r="I8" s="12">
        <v>0</v>
      </c>
    </row>
    <row r="9" spans="2:9" ht="15" customHeight="1" x14ac:dyDescent="0.2">
      <c r="B9" t="s">
        <v>75</v>
      </c>
      <c r="C9" s="12">
        <v>40</v>
      </c>
      <c r="D9" s="8">
        <v>1.27</v>
      </c>
      <c r="E9" s="12">
        <v>3</v>
      </c>
      <c r="F9" s="8">
        <v>0.26</v>
      </c>
      <c r="G9" s="12">
        <v>37</v>
      </c>
      <c r="H9" s="8">
        <v>1.86</v>
      </c>
      <c r="I9" s="12">
        <v>0</v>
      </c>
    </row>
    <row r="10" spans="2:9" ht="15" customHeight="1" x14ac:dyDescent="0.2">
      <c r="B10" t="s">
        <v>76</v>
      </c>
      <c r="C10" s="12">
        <v>13</v>
      </c>
      <c r="D10" s="8">
        <v>0.41</v>
      </c>
      <c r="E10" s="12">
        <v>4</v>
      </c>
      <c r="F10" s="8">
        <v>0.34</v>
      </c>
      <c r="G10" s="12">
        <v>9</v>
      </c>
      <c r="H10" s="8">
        <v>0.45</v>
      </c>
      <c r="I10" s="12">
        <v>0</v>
      </c>
    </row>
    <row r="11" spans="2:9" ht="15" customHeight="1" x14ac:dyDescent="0.2">
      <c r="B11" t="s">
        <v>77</v>
      </c>
      <c r="C11" s="12">
        <v>627</v>
      </c>
      <c r="D11" s="8">
        <v>19.850000000000001</v>
      </c>
      <c r="E11" s="12">
        <v>213</v>
      </c>
      <c r="F11" s="8">
        <v>18.21</v>
      </c>
      <c r="G11" s="12">
        <v>413</v>
      </c>
      <c r="H11" s="8">
        <v>20.79</v>
      </c>
      <c r="I11" s="12">
        <v>1</v>
      </c>
    </row>
    <row r="12" spans="2:9" ht="15" customHeight="1" x14ac:dyDescent="0.2">
      <c r="B12" t="s">
        <v>78</v>
      </c>
      <c r="C12" s="12">
        <v>29</v>
      </c>
      <c r="D12" s="8">
        <v>0.92</v>
      </c>
      <c r="E12" s="12">
        <v>2</v>
      </c>
      <c r="F12" s="8">
        <v>0.17</v>
      </c>
      <c r="G12" s="12">
        <v>27</v>
      </c>
      <c r="H12" s="8">
        <v>1.36</v>
      </c>
      <c r="I12" s="12">
        <v>0</v>
      </c>
    </row>
    <row r="13" spans="2:9" ht="15" customHeight="1" x14ac:dyDescent="0.2">
      <c r="B13" t="s">
        <v>79</v>
      </c>
      <c r="C13" s="12">
        <v>367</v>
      </c>
      <c r="D13" s="8">
        <v>11.62</v>
      </c>
      <c r="E13" s="12">
        <v>30</v>
      </c>
      <c r="F13" s="8">
        <v>2.56</v>
      </c>
      <c r="G13" s="12">
        <v>337</v>
      </c>
      <c r="H13" s="8">
        <v>16.96</v>
      </c>
      <c r="I13" s="12">
        <v>0</v>
      </c>
    </row>
    <row r="14" spans="2:9" ht="15" customHeight="1" x14ac:dyDescent="0.2">
      <c r="B14" t="s">
        <v>80</v>
      </c>
      <c r="C14" s="12">
        <v>241</v>
      </c>
      <c r="D14" s="8">
        <v>7.63</v>
      </c>
      <c r="E14" s="12">
        <v>109</v>
      </c>
      <c r="F14" s="8">
        <v>9.32</v>
      </c>
      <c r="G14" s="12">
        <v>132</v>
      </c>
      <c r="H14" s="8">
        <v>6.64</v>
      </c>
      <c r="I14" s="12">
        <v>0</v>
      </c>
    </row>
    <row r="15" spans="2:9" ht="15" customHeight="1" x14ac:dyDescent="0.2">
      <c r="B15" t="s">
        <v>81</v>
      </c>
      <c r="C15" s="12">
        <v>301</v>
      </c>
      <c r="D15" s="8">
        <v>9.5299999999999994</v>
      </c>
      <c r="E15" s="12">
        <v>234</v>
      </c>
      <c r="F15" s="8">
        <v>20</v>
      </c>
      <c r="G15" s="12">
        <v>66</v>
      </c>
      <c r="H15" s="8">
        <v>3.32</v>
      </c>
      <c r="I15" s="12">
        <v>0</v>
      </c>
    </row>
    <row r="16" spans="2:9" ht="15" customHeight="1" x14ac:dyDescent="0.2">
      <c r="B16" t="s">
        <v>82</v>
      </c>
      <c r="C16" s="12">
        <v>367</v>
      </c>
      <c r="D16" s="8">
        <v>11.62</v>
      </c>
      <c r="E16" s="12">
        <v>250</v>
      </c>
      <c r="F16" s="8">
        <v>21.37</v>
      </c>
      <c r="G16" s="12">
        <v>117</v>
      </c>
      <c r="H16" s="8">
        <v>5.89</v>
      </c>
      <c r="I16" s="12">
        <v>0</v>
      </c>
    </row>
    <row r="17" spans="2:9" ht="15" customHeight="1" x14ac:dyDescent="0.2">
      <c r="B17" t="s">
        <v>83</v>
      </c>
      <c r="C17" s="12">
        <v>141</v>
      </c>
      <c r="D17" s="8">
        <v>4.46</v>
      </c>
      <c r="E17" s="12">
        <v>92</v>
      </c>
      <c r="F17" s="8">
        <v>7.86</v>
      </c>
      <c r="G17" s="12">
        <v>49</v>
      </c>
      <c r="H17" s="8">
        <v>2.4700000000000002</v>
      </c>
      <c r="I17" s="12">
        <v>0</v>
      </c>
    </row>
    <row r="18" spans="2:9" ht="15" customHeight="1" x14ac:dyDescent="0.2">
      <c r="B18" t="s">
        <v>84</v>
      </c>
      <c r="C18" s="12">
        <v>189</v>
      </c>
      <c r="D18" s="8">
        <v>5.98</v>
      </c>
      <c r="E18" s="12">
        <v>106</v>
      </c>
      <c r="F18" s="8">
        <v>9.06</v>
      </c>
      <c r="G18" s="12">
        <v>83</v>
      </c>
      <c r="H18" s="8">
        <v>4.18</v>
      </c>
      <c r="I18" s="12">
        <v>0</v>
      </c>
    </row>
    <row r="19" spans="2:9" ht="15" customHeight="1" x14ac:dyDescent="0.2">
      <c r="B19" t="s">
        <v>85</v>
      </c>
      <c r="C19" s="12">
        <v>116</v>
      </c>
      <c r="D19" s="8">
        <v>3.67</v>
      </c>
      <c r="E19" s="12">
        <v>26</v>
      </c>
      <c r="F19" s="8">
        <v>2.2200000000000002</v>
      </c>
      <c r="G19" s="12">
        <v>90</v>
      </c>
      <c r="H19" s="8">
        <v>4.53</v>
      </c>
      <c r="I19" s="12">
        <v>0</v>
      </c>
    </row>
    <row r="20" spans="2:9" ht="15" customHeight="1" x14ac:dyDescent="0.2">
      <c r="B20" s="9" t="s">
        <v>277</v>
      </c>
      <c r="C20" s="12">
        <f>SUM(LTBL_23116[総数／事業所数])</f>
        <v>3159</v>
      </c>
      <c r="E20" s="12">
        <f>SUBTOTAL(109,LTBL_23116[個人／事業所数])</f>
        <v>1170</v>
      </c>
      <c r="G20" s="12">
        <f>SUBTOTAL(109,LTBL_23116[法人／事業所数])</f>
        <v>1987</v>
      </c>
      <c r="I20" s="12">
        <f>SUBTOTAL(109,LTBL_23116[法人以外の団体／事業所数])</f>
        <v>1</v>
      </c>
    </row>
    <row r="21" spans="2:9" ht="15" customHeight="1" x14ac:dyDescent="0.2">
      <c r="E21" s="11">
        <f>LTBL_23116[[#Totals],[個人／事業所数]]/LTBL_23116[[#Totals],[総数／事業所数]]</f>
        <v>0.37037037037037035</v>
      </c>
      <c r="G21" s="11">
        <f>LTBL_23116[[#Totals],[法人／事業所数]]/LTBL_23116[[#Totals],[総数／事業所数]]</f>
        <v>0.62899651788540678</v>
      </c>
      <c r="I21" s="11">
        <f>LTBL_23116[[#Totals],[法人以外の団体／事業所数]]/LTBL_23116[[#Totals],[総数／事業所数]]</f>
        <v>3.1655587211142766E-4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294</v>
      </c>
      <c r="D24" s="8">
        <v>9.31</v>
      </c>
      <c r="E24" s="12">
        <v>21</v>
      </c>
      <c r="F24" s="8">
        <v>1.79</v>
      </c>
      <c r="G24" s="12">
        <v>273</v>
      </c>
      <c r="H24" s="8">
        <v>13.74</v>
      </c>
      <c r="I24" s="12">
        <v>0</v>
      </c>
    </row>
    <row r="25" spans="2:9" ht="15" customHeight="1" x14ac:dyDescent="0.2">
      <c r="B25" t="s">
        <v>111</v>
      </c>
      <c r="C25" s="12">
        <v>290</v>
      </c>
      <c r="D25" s="8">
        <v>9.18</v>
      </c>
      <c r="E25" s="12">
        <v>229</v>
      </c>
      <c r="F25" s="8">
        <v>19.57</v>
      </c>
      <c r="G25" s="12">
        <v>61</v>
      </c>
      <c r="H25" s="8">
        <v>3.07</v>
      </c>
      <c r="I25" s="12">
        <v>0</v>
      </c>
    </row>
    <row r="26" spans="2:9" ht="15" customHeight="1" x14ac:dyDescent="0.2">
      <c r="B26" t="s">
        <v>110</v>
      </c>
      <c r="C26" s="12">
        <v>272</v>
      </c>
      <c r="D26" s="8">
        <v>8.61</v>
      </c>
      <c r="E26" s="12">
        <v>228</v>
      </c>
      <c r="F26" s="8">
        <v>19.489999999999998</v>
      </c>
      <c r="G26" s="12">
        <v>44</v>
      </c>
      <c r="H26" s="8">
        <v>2.21</v>
      </c>
      <c r="I26" s="12">
        <v>0</v>
      </c>
    </row>
    <row r="27" spans="2:9" ht="15" customHeight="1" x14ac:dyDescent="0.2">
      <c r="B27" t="s">
        <v>95</v>
      </c>
      <c r="C27" s="12">
        <v>150</v>
      </c>
      <c r="D27" s="8">
        <v>4.75</v>
      </c>
      <c r="E27" s="12">
        <v>17</v>
      </c>
      <c r="F27" s="8">
        <v>1.45</v>
      </c>
      <c r="G27" s="12">
        <v>133</v>
      </c>
      <c r="H27" s="8">
        <v>6.69</v>
      </c>
      <c r="I27" s="12">
        <v>0</v>
      </c>
    </row>
    <row r="28" spans="2:9" ht="15" customHeight="1" x14ac:dyDescent="0.2">
      <c r="B28" t="s">
        <v>94</v>
      </c>
      <c r="C28" s="12">
        <v>149</v>
      </c>
      <c r="D28" s="8">
        <v>4.72</v>
      </c>
      <c r="E28" s="12">
        <v>14</v>
      </c>
      <c r="F28" s="8">
        <v>1.2</v>
      </c>
      <c r="G28" s="12">
        <v>135</v>
      </c>
      <c r="H28" s="8">
        <v>6.79</v>
      </c>
      <c r="I28" s="12">
        <v>0</v>
      </c>
    </row>
    <row r="29" spans="2:9" ht="15" customHeight="1" x14ac:dyDescent="0.2">
      <c r="B29" t="s">
        <v>108</v>
      </c>
      <c r="C29" s="12">
        <v>148</v>
      </c>
      <c r="D29" s="8">
        <v>4.6900000000000004</v>
      </c>
      <c r="E29" s="12">
        <v>78</v>
      </c>
      <c r="F29" s="8">
        <v>6.67</v>
      </c>
      <c r="G29" s="12">
        <v>70</v>
      </c>
      <c r="H29" s="8">
        <v>3.52</v>
      </c>
      <c r="I29" s="12">
        <v>0</v>
      </c>
    </row>
    <row r="30" spans="2:9" ht="15" customHeight="1" x14ac:dyDescent="0.2">
      <c r="B30" t="s">
        <v>96</v>
      </c>
      <c r="C30" s="12">
        <v>144</v>
      </c>
      <c r="D30" s="8">
        <v>4.5599999999999996</v>
      </c>
      <c r="E30" s="12">
        <v>16</v>
      </c>
      <c r="F30" s="8">
        <v>1.37</v>
      </c>
      <c r="G30" s="12">
        <v>128</v>
      </c>
      <c r="H30" s="8">
        <v>6.44</v>
      </c>
      <c r="I30" s="12">
        <v>0</v>
      </c>
    </row>
    <row r="31" spans="2:9" ht="15" customHeight="1" x14ac:dyDescent="0.2">
      <c r="B31" t="s">
        <v>112</v>
      </c>
      <c r="C31" s="12">
        <v>141</v>
      </c>
      <c r="D31" s="8">
        <v>4.46</v>
      </c>
      <c r="E31" s="12">
        <v>92</v>
      </c>
      <c r="F31" s="8">
        <v>7.86</v>
      </c>
      <c r="G31" s="12">
        <v>49</v>
      </c>
      <c r="H31" s="8">
        <v>2.4700000000000002</v>
      </c>
      <c r="I31" s="12">
        <v>0</v>
      </c>
    </row>
    <row r="32" spans="2:9" ht="15" customHeight="1" x14ac:dyDescent="0.2">
      <c r="B32" t="s">
        <v>105</v>
      </c>
      <c r="C32" s="12">
        <v>134</v>
      </c>
      <c r="D32" s="8">
        <v>4.24</v>
      </c>
      <c r="E32" s="12">
        <v>64</v>
      </c>
      <c r="F32" s="8">
        <v>5.47</v>
      </c>
      <c r="G32" s="12">
        <v>70</v>
      </c>
      <c r="H32" s="8">
        <v>3.52</v>
      </c>
      <c r="I32" s="12">
        <v>0</v>
      </c>
    </row>
    <row r="33" spans="2:9" ht="15" customHeight="1" x14ac:dyDescent="0.2">
      <c r="B33" t="s">
        <v>113</v>
      </c>
      <c r="C33" s="12">
        <v>126</v>
      </c>
      <c r="D33" s="8">
        <v>3.99</v>
      </c>
      <c r="E33" s="12">
        <v>106</v>
      </c>
      <c r="F33" s="8">
        <v>9.06</v>
      </c>
      <c r="G33" s="12">
        <v>20</v>
      </c>
      <c r="H33" s="8">
        <v>1.01</v>
      </c>
      <c r="I33" s="12">
        <v>0</v>
      </c>
    </row>
    <row r="34" spans="2:9" ht="15" customHeight="1" x14ac:dyDescent="0.2">
      <c r="B34" t="s">
        <v>104</v>
      </c>
      <c r="C34" s="12">
        <v>111</v>
      </c>
      <c r="D34" s="8">
        <v>3.51</v>
      </c>
      <c r="E34" s="12">
        <v>49</v>
      </c>
      <c r="F34" s="8">
        <v>4.1900000000000004</v>
      </c>
      <c r="G34" s="12">
        <v>62</v>
      </c>
      <c r="H34" s="8">
        <v>3.12</v>
      </c>
      <c r="I34" s="12">
        <v>0</v>
      </c>
    </row>
    <row r="35" spans="2:9" ht="15" customHeight="1" x14ac:dyDescent="0.2">
      <c r="B35" t="s">
        <v>100</v>
      </c>
      <c r="C35" s="12">
        <v>88</v>
      </c>
      <c r="D35" s="8">
        <v>2.79</v>
      </c>
      <c r="E35" s="12">
        <v>12</v>
      </c>
      <c r="F35" s="8">
        <v>1.03</v>
      </c>
      <c r="G35" s="12">
        <v>76</v>
      </c>
      <c r="H35" s="8">
        <v>3.82</v>
      </c>
      <c r="I35" s="12">
        <v>0</v>
      </c>
    </row>
    <row r="36" spans="2:9" ht="15" customHeight="1" x14ac:dyDescent="0.2">
      <c r="B36" t="s">
        <v>109</v>
      </c>
      <c r="C36" s="12">
        <v>83</v>
      </c>
      <c r="D36" s="8">
        <v>2.63</v>
      </c>
      <c r="E36" s="12">
        <v>31</v>
      </c>
      <c r="F36" s="8">
        <v>2.65</v>
      </c>
      <c r="G36" s="12">
        <v>52</v>
      </c>
      <c r="H36" s="8">
        <v>2.62</v>
      </c>
      <c r="I36" s="12">
        <v>0</v>
      </c>
    </row>
    <row r="37" spans="2:9" ht="15" customHeight="1" x14ac:dyDescent="0.2">
      <c r="B37" t="s">
        <v>103</v>
      </c>
      <c r="C37" s="12">
        <v>76</v>
      </c>
      <c r="D37" s="8">
        <v>2.41</v>
      </c>
      <c r="E37" s="12">
        <v>41</v>
      </c>
      <c r="F37" s="8">
        <v>3.5</v>
      </c>
      <c r="G37" s="12">
        <v>34</v>
      </c>
      <c r="H37" s="8">
        <v>1.71</v>
      </c>
      <c r="I37" s="12">
        <v>1</v>
      </c>
    </row>
    <row r="38" spans="2:9" ht="15" customHeight="1" x14ac:dyDescent="0.2">
      <c r="B38" t="s">
        <v>106</v>
      </c>
      <c r="C38" s="12">
        <v>63</v>
      </c>
      <c r="D38" s="8">
        <v>1.99</v>
      </c>
      <c r="E38" s="12">
        <v>8</v>
      </c>
      <c r="F38" s="8">
        <v>0.68</v>
      </c>
      <c r="G38" s="12">
        <v>55</v>
      </c>
      <c r="H38" s="8">
        <v>2.77</v>
      </c>
      <c r="I38" s="12">
        <v>0</v>
      </c>
    </row>
    <row r="39" spans="2:9" ht="15" customHeight="1" x14ac:dyDescent="0.2">
      <c r="B39" t="s">
        <v>116</v>
      </c>
      <c r="C39" s="12">
        <v>63</v>
      </c>
      <c r="D39" s="8">
        <v>1.99</v>
      </c>
      <c r="E39" s="12">
        <v>0</v>
      </c>
      <c r="F39" s="8">
        <v>0</v>
      </c>
      <c r="G39" s="12">
        <v>63</v>
      </c>
      <c r="H39" s="8">
        <v>3.17</v>
      </c>
      <c r="I39" s="12">
        <v>0</v>
      </c>
    </row>
    <row r="40" spans="2:9" ht="15" customHeight="1" x14ac:dyDescent="0.2">
      <c r="B40" t="s">
        <v>101</v>
      </c>
      <c r="C40" s="12">
        <v>55</v>
      </c>
      <c r="D40" s="8">
        <v>1.74</v>
      </c>
      <c r="E40" s="12">
        <v>9</v>
      </c>
      <c r="F40" s="8">
        <v>0.77</v>
      </c>
      <c r="G40" s="12">
        <v>46</v>
      </c>
      <c r="H40" s="8">
        <v>2.3199999999999998</v>
      </c>
      <c r="I40" s="12">
        <v>0</v>
      </c>
    </row>
    <row r="41" spans="2:9" ht="15" customHeight="1" x14ac:dyDescent="0.2">
      <c r="B41" t="s">
        <v>99</v>
      </c>
      <c r="C41" s="12">
        <v>54</v>
      </c>
      <c r="D41" s="8">
        <v>1.71</v>
      </c>
      <c r="E41" s="12">
        <v>9</v>
      </c>
      <c r="F41" s="8">
        <v>0.77</v>
      </c>
      <c r="G41" s="12">
        <v>45</v>
      </c>
      <c r="H41" s="8">
        <v>2.2599999999999998</v>
      </c>
      <c r="I41" s="12">
        <v>0</v>
      </c>
    </row>
    <row r="42" spans="2:9" ht="15" customHeight="1" x14ac:dyDescent="0.2">
      <c r="B42" t="s">
        <v>115</v>
      </c>
      <c r="C42" s="12">
        <v>50</v>
      </c>
      <c r="D42" s="8">
        <v>1.58</v>
      </c>
      <c r="E42" s="12">
        <v>11</v>
      </c>
      <c r="F42" s="8">
        <v>0.94</v>
      </c>
      <c r="G42" s="12">
        <v>39</v>
      </c>
      <c r="H42" s="8">
        <v>1.96</v>
      </c>
      <c r="I42" s="12">
        <v>0</v>
      </c>
    </row>
    <row r="43" spans="2:9" ht="15" customHeight="1" x14ac:dyDescent="0.2">
      <c r="B43" t="s">
        <v>98</v>
      </c>
      <c r="C43" s="12">
        <v>46</v>
      </c>
      <c r="D43" s="8">
        <v>1.46</v>
      </c>
      <c r="E43" s="12">
        <v>5</v>
      </c>
      <c r="F43" s="8">
        <v>0.43</v>
      </c>
      <c r="G43" s="12">
        <v>41</v>
      </c>
      <c r="H43" s="8">
        <v>2.06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171</v>
      </c>
      <c r="D47" s="8">
        <v>5.41</v>
      </c>
      <c r="E47" s="12">
        <v>17</v>
      </c>
      <c r="F47" s="8">
        <v>1.45</v>
      </c>
      <c r="G47" s="12">
        <v>154</v>
      </c>
      <c r="H47" s="8">
        <v>7.75</v>
      </c>
      <c r="I47" s="12">
        <v>0</v>
      </c>
    </row>
    <row r="48" spans="2:9" ht="15" customHeight="1" x14ac:dyDescent="0.2">
      <c r="B48" t="s">
        <v>168</v>
      </c>
      <c r="C48" s="12">
        <v>152</v>
      </c>
      <c r="D48" s="8">
        <v>4.8099999999999996</v>
      </c>
      <c r="E48" s="12">
        <v>123</v>
      </c>
      <c r="F48" s="8">
        <v>10.51</v>
      </c>
      <c r="G48" s="12">
        <v>29</v>
      </c>
      <c r="H48" s="8">
        <v>1.46</v>
      </c>
      <c r="I48" s="12">
        <v>0</v>
      </c>
    </row>
    <row r="49" spans="2:9" ht="15" customHeight="1" x14ac:dyDescent="0.2">
      <c r="B49" t="s">
        <v>171</v>
      </c>
      <c r="C49" s="12">
        <v>92</v>
      </c>
      <c r="D49" s="8">
        <v>2.91</v>
      </c>
      <c r="E49" s="12">
        <v>78</v>
      </c>
      <c r="F49" s="8">
        <v>6.67</v>
      </c>
      <c r="G49" s="12">
        <v>14</v>
      </c>
      <c r="H49" s="8">
        <v>0.7</v>
      </c>
      <c r="I49" s="12">
        <v>0</v>
      </c>
    </row>
    <row r="50" spans="2:9" ht="15" customHeight="1" x14ac:dyDescent="0.2">
      <c r="B50" t="s">
        <v>170</v>
      </c>
      <c r="C50" s="12">
        <v>86</v>
      </c>
      <c r="D50" s="8">
        <v>2.72</v>
      </c>
      <c r="E50" s="12">
        <v>68</v>
      </c>
      <c r="F50" s="8">
        <v>5.81</v>
      </c>
      <c r="G50" s="12">
        <v>18</v>
      </c>
      <c r="H50" s="8">
        <v>0.91</v>
      </c>
      <c r="I50" s="12">
        <v>0</v>
      </c>
    </row>
    <row r="51" spans="2:9" ht="15" customHeight="1" x14ac:dyDescent="0.2">
      <c r="B51" t="s">
        <v>156</v>
      </c>
      <c r="C51" s="12">
        <v>80</v>
      </c>
      <c r="D51" s="8">
        <v>2.5299999999999998</v>
      </c>
      <c r="E51" s="12">
        <v>32</v>
      </c>
      <c r="F51" s="8">
        <v>2.74</v>
      </c>
      <c r="G51" s="12">
        <v>48</v>
      </c>
      <c r="H51" s="8">
        <v>2.42</v>
      </c>
      <c r="I51" s="12">
        <v>0</v>
      </c>
    </row>
    <row r="52" spans="2:9" ht="15" customHeight="1" x14ac:dyDescent="0.2">
      <c r="B52" t="s">
        <v>165</v>
      </c>
      <c r="C52" s="12">
        <v>75</v>
      </c>
      <c r="D52" s="8">
        <v>2.37</v>
      </c>
      <c r="E52" s="12">
        <v>69</v>
      </c>
      <c r="F52" s="8">
        <v>5.9</v>
      </c>
      <c r="G52" s="12">
        <v>6</v>
      </c>
      <c r="H52" s="8">
        <v>0.3</v>
      </c>
      <c r="I52" s="12">
        <v>0</v>
      </c>
    </row>
    <row r="53" spans="2:9" ht="15" customHeight="1" x14ac:dyDescent="0.2">
      <c r="B53" t="s">
        <v>163</v>
      </c>
      <c r="C53" s="12">
        <v>65</v>
      </c>
      <c r="D53" s="8">
        <v>2.06</v>
      </c>
      <c r="E53" s="12">
        <v>45</v>
      </c>
      <c r="F53" s="8">
        <v>3.85</v>
      </c>
      <c r="G53" s="12">
        <v>20</v>
      </c>
      <c r="H53" s="8">
        <v>1.01</v>
      </c>
      <c r="I53" s="12">
        <v>0</v>
      </c>
    </row>
    <row r="54" spans="2:9" ht="15" customHeight="1" x14ac:dyDescent="0.2">
      <c r="B54" t="s">
        <v>167</v>
      </c>
      <c r="C54" s="12">
        <v>64</v>
      </c>
      <c r="D54" s="8">
        <v>2.0299999999999998</v>
      </c>
      <c r="E54" s="12">
        <v>60</v>
      </c>
      <c r="F54" s="8">
        <v>5.13</v>
      </c>
      <c r="G54" s="12">
        <v>4</v>
      </c>
      <c r="H54" s="8">
        <v>0.2</v>
      </c>
      <c r="I54" s="12">
        <v>0</v>
      </c>
    </row>
    <row r="55" spans="2:9" ht="15" customHeight="1" x14ac:dyDescent="0.2">
      <c r="B55" t="s">
        <v>154</v>
      </c>
      <c r="C55" s="12">
        <v>62</v>
      </c>
      <c r="D55" s="8">
        <v>1.96</v>
      </c>
      <c r="E55" s="12">
        <v>5</v>
      </c>
      <c r="F55" s="8">
        <v>0.43</v>
      </c>
      <c r="G55" s="12">
        <v>57</v>
      </c>
      <c r="H55" s="8">
        <v>2.87</v>
      </c>
      <c r="I55" s="12">
        <v>0</v>
      </c>
    </row>
    <row r="56" spans="2:9" ht="15" customHeight="1" x14ac:dyDescent="0.2">
      <c r="B56" t="s">
        <v>160</v>
      </c>
      <c r="C56" s="12">
        <v>58</v>
      </c>
      <c r="D56" s="8">
        <v>1.84</v>
      </c>
      <c r="E56" s="12">
        <v>4</v>
      </c>
      <c r="F56" s="8">
        <v>0.34</v>
      </c>
      <c r="G56" s="12">
        <v>54</v>
      </c>
      <c r="H56" s="8">
        <v>2.72</v>
      </c>
      <c r="I56" s="12">
        <v>0</v>
      </c>
    </row>
    <row r="57" spans="2:9" ht="15" customHeight="1" x14ac:dyDescent="0.2">
      <c r="B57" t="s">
        <v>174</v>
      </c>
      <c r="C57" s="12">
        <v>58</v>
      </c>
      <c r="D57" s="8">
        <v>1.84</v>
      </c>
      <c r="E57" s="12">
        <v>0</v>
      </c>
      <c r="F57" s="8">
        <v>0</v>
      </c>
      <c r="G57" s="12">
        <v>58</v>
      </c>
      <c r="H57" s="8">
        <v>2.92</v>
      </c>
      <c r="I57" s="12">
        <v>0</v>
      </c>
    </row>
    <row r="58" spans="2:9" ht="15" customHeight="1" x14ac:dyDescent="0.2">
      <c r="B58" t="s">
        <v>203</v>
      </c>
      <c r="C58" s="12">
        <v>57</v>
      </c>
      <c r="D58" s="8">
        <v>1.8</v>
      </c>
      <c r="E58" s="12">
        <v>5</v>
      </c>
      <c r="F58" s="8">
        <v>0.43</v>
      </c>
      <c r="G58" s="12">
        <v>52</v>
      </c>
      <c r="H58" s="8">
        <v>2.62</v>
      </c>
      <c r="I58" s="12">
        <v>0</v>
      </c>
    </row>
    <row r="59" spans="2:9" ht="15" customHeight="1" x14ac:dyDescent="0.2">
      <c r="B59" t="s">
        <v>164</v>
      </c>
      <c r="C59" s="12">
        <v>57</v>
      </c>
      <c r="D59" s="8">
        <v>1.8</v>
      </c>
      <c r="E59" s="12">
        <v>53</v>
      </c>
      <c r="F59" s="8">
        <v>4.53</v>
      </c>
      <c r="G59" s="12">
        <v>4</v>
      </c>
      <c r="H59" s="8">
        <v>0.2</v>
      </c>
      <c r="I59" s="12">
        <v>0</v>
      </c>
    </row>
    <row r="60" spans="2:9" ht="15" customHeight="1" x14ac:dyDescent="0.2">
      <c r="B60" t="s">
        <v>155</v>
      </c>
      <c r="C60" s="12">
        <v>55</v>
      </c>
      <c r="D60" s="8">
        <v>1.74</v>
      </c>
      <c r="E60" s="12">
        <v>6</v>
      </c>
      <c r="F60" s="8">
        <v>0.51</v>
      </c>
      <c r="G60" s="12">
        <v>49</v>
      </c>
      <c r="H60" s="8">
        <v>2.4700000000000002</v>
      </c>
      <c r="I60" s="12">
        <v>0</v>
      </c>
    </row>
    <row r="61" spans="2:9" ht="15" customHeight="1" x14ac:dyDescent="0.2">
      <c r="B61" t="s">
        <v>162</v>
      </c>
      <c r="C61" s="12">
        <v>51</v>
      </c>
      <c r="D61" s="8">
        <v>1.61</v>
      </c>
      <c r="E61" s="12">
        <v>20</v>
      </c>
      <c r="F61" s="8">
        <v>1.71</v>
      </c>
      <c r="G61" s="12">
        <v>31</v>
      </c>
      <c r="H61" s="8">
        <v>1.56</v>
      </c>
      <c r="I61" s="12">
        <v>0</v>
      </c>
    </row>
    <row r="62" spans="2:9" ht="15" customHeight="1" x14ac:dyDescent="0.2">
      <c r="B62" t="s">
        <v>159</v>
      </c>
      <c r="C62" s="12">
        <v>50</v>
      </c>
      <c r="D62" s="8">
        <v>1.58</v>
      </c>
      <c r="E62" s="12">
        <v>6</v>
      </c>
      <c r="F62" s="8">
        <v>0.51</v>
      </c>
      <c r="G62" s="12">
        <v>44</v>
      </c>
      <c r="H62" s="8">
        <v>2.21</v>
      </c>
      <c r="I62" s="12">
        <v>0</v>
      </c>
    </row>
    <row r="63" spans="2:9" ht="15" customHeight="1" x14ac:dyDescent="0.2">
      <c r="B63" t="s">
        <v>184</v>
      </c>
      <c r="C63" s="12">
        <v>48</v>
      </c>
      <c r="D63" s="8">
        <v>1.52</v>
      </c>
      <c r="E63" s="12">
        <v>5</v>
      </c>
      <c r="F63" s="8">
        <v>0.43</v>
      </c>
      <c r="G63" s="12">
        <v>43</v>
      </c>
      <c r="H63" s="8">
        <v>2.16</v>
      </c>
      <c r="I63" s="12">
        <v>0</v>
      </c>
    </row>
    <row r="64" spans="2:9" ht="15" customHeight="1" x14ac:dyDescent="0.2">
      <c r="B64" t="s">
        <v>169</v>
      </c>
      <c r="C64" s="12">
        <v>46</v>
      </c>
      <c r="D64" s="8">
        <v>1.46</v>
      </c>
      <c r="E64" s="12">
        <v>24</v>
      </c>
      <c r="F64" s="8">
        <v>2.0499999999999998</v>
      </c>
      <c r="G64" s="12">
        <v>22</v>
      </c>
      <c r="H64" s="8">
        <v>1.1100000000000001</v>
      </c>
      <c r="I64" s="12">
        <v>0</v>
      </c>
    </row>
    <row r="65" spans="2:9" ht="15" customHeight="1" x14ac:dyDescent="0.2">
      <c r="B65" t="s">
        <v>166</v>
      </c>
      <c r="C65" s="12">
        <v>45</v>
      </c>
      <c r="D65" s="8">
        <v>1.42</v>
      </c>
      <c r="E65" s="12">
        <v>21</v>
      </c>
      <c r="F65" s="8">
        <v>1.79</v>
      </c>
      <c r="G65" s="12">
        <v>24</v>
      </c>
      <c r="H65" s="8">
        <v>1.21</v>
      </c>
      <c r="I65" s="12">
        <v>0</v>
      </c>
    </row>
    <row r="66" spans="2:9" ht="15" customHeight="1" x14ac:dyDescent="0.2">
      <c r="B66" t="s">
        <v>175</v>
      </c>
      <c r="C66" s="12">
        <v>43</v>
      </c>
      <c r="D66" s="8">
        <v>1.36</v>
      </c>
      <c r="E66" s="12">
        <v>39</v>
      </c>
      <c r="F66" s="8">
        <v>3.33</v>
      </c>
      <c r="G66" s="12">
        <v>4</v>
      </c>
      <c r="H66" s="8">
        <v>0.2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C9F0-B719-4768-BBAE-30BE0262BE4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72</v>
      </c>
      <c r="C6" s="12">
        <v>1095</v>
      </c>
      <c r="D6" s="8">
        <v>13.61</v>
      </c>
      <c r="E6" s="12">
        <v>268</v>
      </c>
      <c r="F6" s="8">
        <v>6.91</v>
      </c>
      <c r="G6" s="12">
        <v>826</v>
      </c>
      <c r="H6" s="8">
        <v>19.989999999999998</v>
      </c>
      <c r="I6" s="12">
        <v>1</v>
      </c>
    </row>
    <row r="7" spans="2:9" ht="15" customHeight="1" x14ac:dyDescent="0.2">
      <c r="B7" t="s">
        <v>73</v>
      </c>
      <c r="C7" s="12">
        <v>865</v>
      </c>
      <c r="D7" s="8">
        <v>10.75</v>
      </c>
      <c r="E7" s="12">
        <v>262</v>
      </c>
      <c r="F7" s="8">
        <v>6.76</v>
      </c>
      <c r="G7" s="12">
        <v>601</v>
      </c>
      <c r="H7" s="8">
        <v>14.54</v>
      </c>
      <c r="I7" s="12">
        <v>2</v>
      </c>
    </row>
    <row r="8" spans="2:9" ht="15" customHeight="1" x14ac:dyDescent="0.2">
      <c r="B8" t="s">
        <v>74</v>
      </c>
      <c r="C8" s="12">
        <v>14</v>
      </c>
      <c r="D8" s="8">
        <v>0.17</v>
      </c>
      <c r="E8" s="12">
        <v>0</v>
      </c>
      <c r="F8" s="8">
        <v>0</v>
      </c>
      <c r="G8" s="12">
        <v>14</v>
      </c>
      <c r="H8" s="8">
        <v>0.34</v>
      </c>
      <c r="I8" s="12">
        <v>0</v>
      </c>
    </row>
    <row r="9" spans="2:9" ht="15" customHeight="1" x14ac:dyDescent="0.2">
      <c r="B9" t="s">
        <v>75</v>
      </c>
      <c r="C9" s="12">
        <v>67</v>
      </c>
      <c r="D9" s="8">
        <v>0.83</v>
      </c>
      <c r="E9" s="12">
        <v>6</v>
      </c>
      <c r="F9" s="8">
        <v>0.15</v>
      </c>
      <c r="G9" s="12">
        <v>61</v>
      </c>
      <c r="H9" s="8">
        <v>1.48</v>
      </c>
      <c r="I9" s="12">
        <v>0</v>
      </c>
    </row>
    <row r="10" spans="2:9" ht="15" customHeight="1" x14ac:dyDescent="0.2">
      <c r="B10" t="s">
        <v>76</v>
      </c>
      <c r="C10" s="12">
        <v>78</v>
      </c>
      <c r="D10" s="8">
        <v>0.97</v>
      </c>
      <c r="E10" s="12">
        <v>9</v>
      </c>
      <c r="F10" s="8">
        <v>0.23</v>
      </c>
      <c r="G10" s="12">
        <v>68</v>
      </c>
      <c r="H10" s="8">
        <v>1.65</v>
      </c>
      <c r="I10" s="12">
        <v>0</v>
      </c>
    </row>
    <row r="11" spans="2:9" ht="15" customHeight="1" x14ac:dyDescent="0.2">
      <c r="B11" t="s">
        <v>77</v>
      </c>
      <c r="C11" s="12">
        <v>1775</v>
      </c>
      <c r="D11" s="8">
        <v>22.06</v>
      </c>
      <c r="E11" s="12">
        <v>736</v>
      </c>
      <c r="F11" s="8">
        <v>18.98</v>
      </c>
      <c r="G11" s="12">
        <v>1039</v>
      </c>
      <c r="H11" s="8">
        <v>25.14</v>
      </c>
      <c r="I11" s="12">
        <v>0</v>
      </c>
    </row>
    <row r="12" spans="2:9" ht="15" customHeight="1" x14ac:dyDescent="0.2">
      <c r="B12" t="s">
        <v>78</v>
      </c>
      <c r="C12" s="12">
        <v>75</v>
      </c>
      <c r="D12" s="8">
        <v>0.93</v>
      </c>
      <c r="E12" s="12">
        <v>11</v>
      </c>
      <c r="F12" s="8">
        <v>0.28000000000000003</v>
      </c>
      <c r="G12" s="12">
        <v>64</v>
      </c>
      <c r="H12" s="8">
        <v>1.55</v>
      </c>
      <c r="I12" s="12">
        <v>0</v>
      </c>
    </row>
    <row r="13" spans="2:9" ht="15" customHeight="1" x14ac:dyDescent="0.2">
      <c r="B13" t="s">
        <v>79</v>
      </c>
      <c r="C13" s="12">
        <v>681</v>
      </c>
      <c r="D13" s="8">
        <v>8.4600000000000009</v>
      </c>
      <c r="E13" s="12">
        <v>236</v>
      </c>
      <c r="F13" s="8">
        <v>6.09</v>
      </c>
      <c r="G13" s="12">
        <v>445</v>
      </c>
      <c r="H13" s="8">
        <v>10.77</v>
      </c>
      <c r="I13" s="12">
        <v>0</v>
      </c>
    </row>
    <row r="14" spans="2:9" ht="15" customHeight="1" x14ac:dyDescent="0.2">
      <c r="B14" t="s">
        <v>80</v>
      </c>
      <c r="C14" s="12">
        <v>468</v>
      </c>
      <c r="D14" s="8">
        <v>5.82</v>
      </c>
      <c r="E14" s="12">
        <v>235</v>
      </c>
      <c r="F14" s="8">
        <v>6.06</v>
      </c>
      <c r="G14" s="12">
        <v>232</v>
      </c>
      <c r="H14" s="8">
        <v>5.61</v>
      </c>
      <c r="I14" s="12">
        <v>0</v>
      </c>
    </row>
    <row r="15" spans="2:9" ht="15" customHeight="1" x14ac:dyDescent="0.2">
      <c r="B15" t="s">
        <v>81</v>
      </c>
      <c r="C15" s="12">
        <v>962</v>
      </c>
      <c r="D15" s="8">
        <v>11.96</v>
      </c>
      <c r="E15" s="12">
        <v>782</v>
      </c>
      <c r="F15" s="8">
        <v>20.170000000000002</v>
      </c>
      <c r="G15" s="12">
        <v>178</v>
      </c>
      <c r="H15" s="8">
        <v>4.3099999999999996</v>
      </c>
      <c r="I15" s="12">
        <v>0</v>
      </c>
    </row>
    <row r="16" spans="2:9" ht="15" customHeight="1" x14ac:dyDescent="0.2">
      <c r="B16" t="s">
        <v>82</v>
      </c>
      <c r="C16" s="12">
        <v>989</v>
      </c>
      <c r="D16" s="8">
        <v>12.29</v>
      </c>
      <c r="E16" s="12">
        <v>791</v>
      </c>
      <c r="F16" s="8">
        <v>20.399999999999999</v>
      </c>
      <c r="G16" s="12">
        <v>194</v>
      </c>
      <c r="H16" s="8">
        <v>4.6900000000000004</v>
      </c>
      <c r="I16" s="12">
        <v>1</v>
      </c>
    </row>
    <row r="17" spans="2:9" ht="15" customHeight="1" x14ac:dyDescent="0.2">
      <c r="B17" t="s">
        <v>83</v>
      </c>
      <c r="C17" s="12">
        <v>344</v>
      </c>
      <c r="D17" s="8">
        <v>4.28</v>
      </c>
      <c r="E17" s="12">
        <v>217</v>
      </c>
      <c r="F17" s="8">
        <v>5.6</v>
      </c>
      <c r="G17" s="12">
        <v>124</v>
      </c>
      <c r="H17" s="8">
        <v>3</v>
      </c>
      <c r="I17" s="12">
        <v>0</v>
      </c>
    </row>
    <row r="18" spans="2:9" ht="15" customHeight="1" x14ac:dyDescent="0.2">
      <c r="B18" t="s">
        <v>84</v>
      </c>
      <c r="C18" s="12">
        <v>339</v>
      </c>
      <c r="D18" s="8">
        <v>4.21</v>
      </c>
      <c r="E18" s="12">
        <v>227</v>
      </c>
      <c r="F18" s="8">
        <v>5.85</v>
      </c>
      <c r="G18" s="12">
        <v>95</v>
      </c>
      <c r="H18" s="8">
        <v>2.2999999999999998</v>
      </c>
      <c r="I18" s="12">
        <v>4</v>
      </c>
    </row>
    <row r="19" spans="2:9" ht="15" customHeight="1" x14ac:dyDescent="0.2">
      <c r="B19" t="s">
        <v>85</v>
      </c>
      <c r="C19" s="12">
        <v>293</v>
      </c>
      <c r="D19" s="8">
        <v>3.64</v>
      </c>
      <c r="E19" s="12">
        <v>98</v>
      </c>
      <c r="F19" s="8">
        <v>2.5299999999999998</v>
      </c>
      <c r="G19" s="12">
        <v>191</v>
      </c>
      <c r="H19" s="8">
        <v>4.62</v>
      </c>
      <c r="I19" s="12">
        <v>2</v>
      </c>
    </row>
    <row r="20" spans="2:9" ht="15" customHeight="1" x14ac:dyDescent="0.2">
      <c r="B20" s="9" t="s">
        <v>277</v>
      </c>
      <c r="C20" s="12">
        <f>SUM(LTBL_23201[総数／事業所数])</f>
        <v>8046</v>
      </c>
      <c r="E20" s="12">
        <f>SUBTOTAL(109,LTBL_23201[個人／事業所数])</f>
        <v>3878</v>
      </c>
      <c r="G20" s="12">
        <f>SUBTOTAL(109,LTBL_23201[法人／事業所数])</f>
        <v>4133</v>
      </c>
      <c r="I20" s="12">
        <f>SUBTOTAL(109,LTBL_23201[法人以外の団体／事業所数])</f>
        <v>10</v>
      </c>
    </row>
    <row r="21" spans="2:9" ht="15" customHeight="1" x14ac:dyDescent="0.2">
      <c r="E21" s="11">
        <f>LTBL_23201[[#Totals],[個人／事業所数]]/LTBL_23201[[#Totals],[総数／事業所数]]</f>
        <v>0.48197862291822025</v>
      </c>
      <c r="G21" s="11">
        <f>LTBL_23201[[#Totals],[法人／事業所数]]/LTBL_23201[[#Totals],[総数／事業所数]]</f>
        <v>0.51367138951031566</v>
      </c>
      <c r="I21" s="11">
        <f>LTBL_23201[[#Totals],[法人以外の団体／事業所数]]/LTBL_23201[[#Totals],[総数／事業所数]]</f>
        <v>1.2428535918468805E-3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901</v>
      </c>
      <c r="D24" s="8">
        <v>11.2</v>
      </c>
      <c r="E24" s="12">
        <v>758</v>
      </c>
      <c r="F24" s="8">
        <v>19.55</v>
      </c>
      <c r="G24" s="12">
        <v>143</v>
      </c>
      <c r="H24" s="8">
        <v>3.46</v>
      </c>
      <c r="I24" s="12">
        <v>0</v>
      </c>
    </row>
    <row r="25" spans="2:9" ht="15" customHeight="1" x14ac:dyDescent="0.2">
      <c r="B25" t="s">
        <v>111</v>
      </c>
      <c r="C25" s="12">
        <v>839</v>
      </c>
      <c r="D25" s="8">
        <v>10.43</v>
      </c>
      <c r="E25" s="12">
        <v>729</v>
      </c>
      <c r="F25" s="8">
        <v>18.8</v>
      </c>
      <c r="G25" s="12">
        <v>110</v>
      </c>
      <c r="H25" s="8">
        <v>2.66</v>
      </c>
      <c r="I25" s="12">
        <v>0</v>
      </c>
    </row>
    <row r="26" spans="2:9" ht="15" customHeight="1" x14ac:dyDescent="0.2">
      <c r="B26" t="s">
        <v>107</v>
      </c>
      <c r="C26" s="12">
        <v>515</v>
      </c>
      <c r="D26" s="8">
        <v>6.4</v>
      </c>
      <c r="E26" s="12">
        <v>190</v>
      </c>
      <c r="F26" s="8">
        <v>4.9000000000000004</v>
      </c>
      <c r="G26" s="12">
        <v>325</v>
      </c>
      <c r="H26" s="8">
        <v>7.86</v>
      </c>
      <c r="I26" s="12">
        <v>0</v>
      </c>
    </row>
    <row r="27" spans="2:9" ht="15" customHeight="1" x14ac:dyDescent="0.2">
      <c r="B27" t="s">
        <v>94</v>
      </c>
      <c r="C27" s="12">
        <v>467</v>
      </c>
      <c r="D27" s="8">
        <v>5.8</v>
      </c>
      <c r="E27" s="12">
        <v>102</v>
      </c>
      <c r="F27" s="8">
        <v>2.63</v>
      </c>
      <c r="G27" s="12">
        <v>365</v>
      </c>
      <c r="H27" s="8">
        <v>8.83</v>
      </c>
      <c r="I27" s="12">
        <v>0</v>
      </c>
    </row>
    <row r="28" spans="2:9" ht="15" customHeight="1" x14ac:dyDescent="0.2">
      <c r="B28" t="s">
        <v>105</v>
      </c>
      <c r="C28" s="12">
        <v>451</v>
      </c>
      <c r="D28" s="8">
        <v>5.61</v>
      </c>
      <c r="E28" s="12">
        <v>224</v>
      </c>
      <c r="F28" s="8">
        <v>5.78</v>
      </c>
      <c r="G28" s="12">
        <v>227</v>
      </c>
      <c r="H28" s="8">
        <v>5.49</v>
      </c>
      <c r="I28" s="12">
        <v>0</v>
      </c>
    </row>
    <row r="29" spans="2:9" ht="15" customHeight="1" x14ac:dyDescent="0.2">
      <c r="B29" t="s">
        <v>95</v>
      </c>
      <c r="C29" s="12">
        <v>351</v>
      </c>
      <c r="D29" s="8">
        <v>4.3600000000000003</v>
      </c>
      <c r="E29" s="12">
        <v>114</v>
      </c>
      <c r="F29" s="8">
        <v>2.94</v>
      </c>
      <c r="G29" s="12">
        <v>236</v>
      </c>
      <c r="H29" s="8">
        <v>5.71</v>
      </c>
      <c r="I29" s="12">
        <v>1</v>
      </c>
    </row>
    <row r="30" spans="2:9" ht="15" customHeight="1" x14ac:dyDescent="0.2">
      <c r="B30" t="s">
        <v>112</v>
      </c>
      <c r="C30" s="12">
        <v>344</v>
      </c>
      <c r="D30" s="8">
        <v>4.28</v>
      </c>
      <c r="E30" s="12">
        <v>217</v>
      </c>
      <c r="F30" s="8">
        <v>5.6</v>
      </c>
      <c r="G30" s="12">
        <v>124</v>
      </c>
      <c r="H30" s="8">
        <v>3</v>
      </c>
      <c r="I30" s="12">
        <v>0</v>
      </c>
    </row>
    <row r="31" spans="2:9" ht="15" customHeight="1" x14ac:dyDescent="0.2">
      <c r="B31" t="s">
        <v>104</v>
      </c>
      <c r="C31" s="12">
        <v>293</v>
      </c>
      <c r="D31" s="8">
        <v>3.64</v>
      </c>
      <c r="E31" s="12">
        <v>144</v>
      </c>
      <c r="F31" s="8">
        <v>3.71</v>
      </c>
      <c r="G31" s="12">
        <v>149</v>
      </c>
      <c r="H31" s="8">
        <v>3.61</v>
      </c>
      <c r="I31" s="12">
        <v>0</v>
      </c>
    </row>
    <row r="32" spans="2:9" ht="15" customHeight="1" x14ac:dyDescent="0.2">
      <c r="B32" t="s">
        <v>103</v>
      </c>
      <c r="C32" s="12">
        <v>282</v>
      </c>
      <c r="D32" s="8">
        <v>3.5</v>
      </c>
      <c r="E32" s="12">
        <v>172</v>
      </c>
      <c r="F32" s="8">
        <v>4.4400000000000004</v>
      </c>
      <c r="G32" s="12">
        <v>110</v>
      </c>
      <c r="H32" s="8">
        <v>2.66</v>
      </c>
      <c r="I32" s="12">
        <v>0</v>
      </c>
    </row>
    <row r="33" spans="2:9" ht="15" customHeight="1" x14ac:dyDescent="0.2">
      <c r="B33" t="s">
        <v>96</v>
      </c>
      <c r="C33" s="12">
        <v>277</v>
      </c>
      <c r="D33" s="8">
        <v>3.44</v>
      </c>
      <c r="E33" s="12">
        <v>52</v>
      </c>
      <c r="F33" s="8">
        <v>1.34</v>
      </c>
      <c r="G33" s="12">
        <v>225</v>
      </c>
      <c r="H33" s="8">
        <v>5.44</v>
      </c>
      <c r="I33" s="12">
        <v>0</v>
      </c>
    </row>
    <row r="34" spans="2:9" ht="15" customHeight="1" x14ac:dyDescent="0.2">
      <c r="B34" t="s">
        <v>113</v>
      </c>
      <c r="C34" s="12">
        <v>266</v>
      </c>
      <c r="D34" s="8">
        <v>3.31</v>
      </c>
      <c r="E34" s="12">
        <v>225</v>
      </c>
      <c r="F34" s="8">
        <v>5.8</v>
      </c>
      <c r="G34" s="12">
        <v>41</v>
      </c>
      <c r="H34" s="8">
        <v>0.99</v>
      </c>
      <c r="I34" s="12">
        <v>0</v>
      </c>
    </row>
    <row r="35" spans="2:9" ht="15" customHeight="1" x14ac:dyDescent="0.2">
      <c r="B35" t="s">
        <v>108</v>
      </c>
      <c r="C35" s="12">
        <v>258</v>
      </c>
      <c r="D35" s="8">
        <v>3.21</v>
      </c>
      <c r="E35" s="12">
        <v>156</v>
      </c>
      <c r="F35" s="8">
        <v>4.0199999999999996</v>
      </c>
      <c r="G35" s="12">
        <v>102</v>
      </c>
      <c r="H35" s="8">
        <v>2.4700000000000002</v>
      </c>
      <c r="I35" s="12">
        <v>0</v>
      </c>
    </row>
    <row r="36" spans="2:9" ht="15" customHeight="1" x14ac:dyDescent="0.2">
      <c r="B36" t="s">
        <v>102</v>
      </c>
      <c r="C36" s="12">
        <v>210</v>
      </c>
      <c r="D36" s="8">
        <v>2.61</v>
      </c>
      <c r="E36" s="12">
        <v>97</v>
      </c>
      <c r="F36" s="8">
        <v>2.5</v>
      </c>
      <c r="G36" s="12">
        <v>113</v>
      </c>
      <c r="H36" s="8">
        <v>2.73</v>
      </c>
      <c r="I36" s="12">
        <v>0</v>
      </c>
    </row>
    <row r="37" spans="2:9" ht="15" customHeight="1" x14ac:dyDescent="0.2">
      <c r="B37" t="s">
        <v>109</v>
      </c>
      <c r="C37" s="12">
        <v>191</v>
      </c>
      <c r="D37" s="8">
        <v>2.37</v>
      </c>
      <c r="E37" s="12">
        <v>79</v>
      </c>
      <c r="F37" s="8">
        <v>2.04</v>
      </c>
      <c r="G37" s="12">
        <v>111</v>
      </c>
      <c r="H37" s="8">
        <v>2.69</v>
      </c>
      <c r="I37" s="12">
        <v>0</v>
      </c>
    </row>
    <row r="38" spans="2:9" ht="15" customHeight="1" x14ac:dyDescent="0.2">
      <c r="B38" t="s">
        <v>106</v>
      </c>
      <c r="C38" s="12">
        <v>143</v>
      </c>
      <c r="D38" s="8">
        <v>1.78</v>
      </c>
      <c r="E38" s="12">
        <v>45</v>
      </c>
      <c r="F38" s="8">
        <v>1.1599999999999999</v>
      </c>
      <c r="G38" s="12">
        <v>98</v>
      </c>
      <c r="H38" s="8">
        <v>2.37</v>
      </c>
      <c r="I38" s="12">
        <v>0</v>
      </c>
    </row>
    <row r="39" spans="2:9" ht="15" customHeight="1" x14ac:dyDescent="0.2">
      <c r="B39" t="s">
        <v>100</v>
      </c>
      <c r="C39" s="12">
        <v>134</v>
      </c>
      <c r="D39" s="8">
        <v>1.67</v>
      </c>
      <c r="E39" s="12">
        <v>18</v>
      </c>
      <c r="F39" s="8">
        <v>0.46</v>
      </c>
      <c r="G39" s="12">
        <v>116</v>
      </c>
      <c r="H39" s="8">
        <v>2.81</v>
      </c>
      <c r="I39" s="12">
        <v>0</v>
      </c>
    </row>
    <row r="40" spans="2:9" ht="15" customHeight="1" x14ac:dyDescent="0.2">
      <c r="B40" t="s">
        <v>97</v>
      </c>
      <c r="C40" s="12">
        <v>119</v>
      </c>
      <c r="D40" s="8">
        <v>1.48</v>
      </c>
      <c r="E40" s="12">
        <v>36</v>
      </c>
      <c r="F40" s="8">
        <v>0.93</v>
      </c>
      <c r="G40" s="12">
        <v>83</v>
      </c>
      <c r="H40" s="8">
        <v>2.0099999999999998</v>
      </c>
      <c r="I40" s="12">
        <v>0</v>
      </c>
    </row>
    <row r="41" spans="2:9" ht="15" customHeight="1" x14ac:dyDescent="0.2">
      <c r="B41" t="s">
        <v>101</v>
      </c>
      <c r="C41" s="12">
        <v>119</v>
      </c>
      <c r="D41" s="8">
        <v>1.48</v>
      </c>
      <c r="E41" s="12">
        <v>25</v>
      </c>
      <c r="F41" s="8">
        <v>0.64</v>
      </c>
      <c r="G41" s="12">
        <v>94</v>
      </c>
      <c r="H41" s="8">
        <v>2.27</v>
      </c>
      <c r="I41" s="12">
        <v>0</v>
      </c>
    </row>
    <row r="42" spans="2:9" ht="15" customHeight="1" x14ac:dyDescent="0.2">
      <c r="B42" t="s">
        <v>99</v>
      </c>
      <c r="C42" s="12">
        <v>115</v>
      </c>
      <c r="D42" s="8">
        <v>1.43</v>
      </c>
      <c r="E42" s="12">
        <v>19</v>
      </c>
      <c r="F42" s="8">
        <v>0.49</v>
      </c>
      <c r="G42" s="12">
        <v>96</v>
      </c>
      <c r="H42" s="8">
        <v>2.3199999999999998</v>
      </c>
      <c r="I42" s="12">
        <v>0</v>
      </c>
    </row>
    <row r="43" spans="2:9" ht="15" customHeight="1" x14ac:dyDescent="0.2">
      <c r="B43" t="s">
        <v>122</v>
      </c>
      <c r="C43" s="12">
        <v>103</v>
      </c>
      <c r="D43" s="8">
        <v>1.28</v>
      </c>
      <c r="E43" s="12">
        <v>65</v>
      </c>
      <c r="F43" s="8">
        <v>1.68</v>
      </c>
      <c r="G43" s="12">
        <v>38</v>
      </c>
      <c r="H43" s="8">
        <v>0.92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393</v>
      </c>
      <c r="D47" s="8">
        <v>4.88</v>
      </c>
      <c r="E47" s="12">
        <v>348</v>
      </c>
      <c r="F47" s="8">
        <v>8.9700000000000006</v>
      </c>
      <c r="G47" s="12">
        <v>45</v>
      </c>
      <c r="H47" s="8">
        <v>1.0900000000000001</v>
      </c>
      <c r="I47" s="12">
        <v>0</v>
      </c>
    </row>
    <row r="48" spans="2:9" ht="15" customHeight="1" x14ac:dyDescent="0.2">
      <c r="B48" t="s">
        <v>161</v>
      </c>
      <c r="C48" s="12">
        <v>289</v>
      </c>
      <c r="D48" s="8">
        <v>3.59</v>
      </c>
      <c r="E48" s="12">
        <v>131</v>
      </c>
      <c r="F48" s="8">
        <v>3.38</v>
      </c>
      <c r="G48" s="12">
        <v>158</v>
      </c>
      <c r="H48" s="8">
        <v>3.82</v>
      </c>
      <c r="I48" s="12">
        <v>0</v>
      </c>
    </row>
    <row r="49" spans="2:9" ht="15" customHeight="1" x14ac:dyDescent="0.2">
      <c r="B49" t="s">
        <v>167</v>
      </c>
      <c r="C49" s="12">
        <v>263</v>
      </c>
      <c r="D49" s="8">
        <v>3.27</v>
      </c>
      <c r="E49" s="12">
        <v>255</v>
      </c>
      <c r="F49" s="8">
        <v>6.58</v>
      </c>
      <c r="G49" s="12">
        <v>8</v>
      </c>
      <c r="H49" s="8">
        <v>0.19</v>
      </c>
      <c r="I49" s="12">
        <v>0</v>
      </c>
    </row>
    <row r="50" spans="2:9" ht="15" customHeight="1" x14ac:dyDescent="0.2">
      <c r="B50" t="s">
        <v>163</v>
      </c>
      <c r="C50" s="12">
        <v>219</v>
      </c>
      <c r="D50" s="8">
        <v>2.72</v>
      </c>
      <c r="E50" s="12">
        <v>166</v>
      </c>
      <c r="F50" s="8">
        <v>4.28</v>
      </c>
      <c r="G50" s="12">
        <v>53</v>
      </c>
      <c r="H50" s="8">
        <v>1.28</v>
      </c>
      <c r="I50" s="12">
        <v>0</v>
      </c>
    </row>
    <row r="51" spans="2:9" ht="15" customHeight="1" x14ac:dyDescent="0.2">
      <c r="B51" t="s">
        <v>164</v>
      </c>
      <c r="C51" s="12">
        <v>205</v>
      </c>
      <c r="D51" s="8">
        <v>2.5499999999999998</v>
      </c>
      <c r="E51" s="12">
        <v>180</v>
      </c>
      <c r="F51" s="8">
        <v>4.6399999999999997</v>
      </c>
      <c r="G51" s="12">
        <v>25</v>
      </c>
      <c r="H51" s="8">
        <v>0.6</v>
      </c>
      <c r="I51" s="12">
        <v>0</v>
      </c>
    </row>
    <row r="52" spans="2:9" ht="15" customHeight="1" x14ac:dyDescent="0.2">
      <c r="B52" t="s">
        <v>171</v>
      </c>
      <c r="C52" s="12">
        <v>200</v>
      </c>
      <c r="D52" s="8">
        <v>2.4900000000000002</v>
      </c>
      <c r="E52" s="12">
        <v>171</v>
      </c>
      <c r="F52" s="8">
        <v>4.41</v>
      </c>
      <c r="G52" s="12">
        <v>29</v>
      </c>
      <c r="H52" s="8">
        <v>0.7</v>
      </c>
      <c r="I52" s="12">
        <v>0</v>
      </c>
    </row>
    <row r="53" spans="2:9" ht="15" customHeight="1" x14ac:dyDescent="0.2">
      <c r="B53" t="s">
        <v>170</v>
      </c>
      <c r="C53" s="12">
        <v>193</v>
      </c>
      <c r="D53" s="8">
        <v>2.4</v>
      </c>
      <c r="E53" s="12">
        <v>148</v>
      </c>
      <c r="F53" s="8">
        <v>3.82</v>
      </c>
      <c r="G53" s="12">
        <v>45</v>
      </c>
      <c r="H53" s="8">
        <v>1.0900000000000001</v>
      </c>
      <c r="I53" s="12">
        <v>0</v>
      </c>
    </row>
    <row r="54" spans="2:9" ht="15" customHeight="1" x14ac:dyDescent="0.2">
      <c r="B54" t="s">
        <v>165</v>
      </c>
      <c r="C54" s="12">
        <v>192</v>
      </c>
      <c r="D54" s="8">
        <v>2.39</v>
      </c>
      <c r="E54" s="12">
        <v>174</v>
      </c>
      <c r="F54" s="8">
        <v>4.49</v>
      </c>
      <c r="G54" s="12">
        <v>18</v>
      </c>
      <c r="H54" s="8">
        <v>0.44</v>
      </c>
      <c r="I54" s="12">
        <v>0</v>
      </c>
    </row>
    <row r="55" spans="2:9" ht="15" customHeight="1" x14ac:dyDescent="0.2">
      <c r="B55" t="s">
        <v>156</v>
      </c>
      <c r="C55" s="12">
        <v>170</v>
      </c>
      <c r="D55" s="8">
        <v>2.11</v>
      </c>
      <c r="E55" s="12">
        <v>77</v>
      </c>
      <c r="F55" s="8">
        <v>1.99</v>
      </c>
      <c r="G55" s="12">
        <v>93</v>
      </c>
      <c r="H55" s="8">
        <v>2.25</v>
      </c>
      <c r="I55" s="12">
        <v>0</v>
      </c>
    </row>
    <row r="56" spans="2:9" ht="15" customHeight="1" x14ac:dyDescent="0.2">
      <c r="B56" t="s">
        <v>153</v>
      </c>
      <c r="C56" s="12">
        <v>139</v>
      </c>
      <c r="D56" s="8">
        <v>1.73</v>
      </c>
      <c r="E56" s="12">
        <v>26</v>
      </c>
      <c r="F56" s="8">
        <v>0.67</v>
      </c>
      <c r="G56" s="12">
        <v>113</v>
      </c>
      <c r="H56" s="8">
        <v>2.73</v>
      </c>
      <c r="I56" s="12">
        <v>0</v>
      </c>
    </row>
    <row r="57" spans="2:9" ht="15" customHeight="1" x14ac:dyDescent="0.2">
      <c r="B57" t="s">
        <v>158</v>
      </c>
      <c r="C57" s="12">
        <v>137</v>
      </c>
      <c r="D57" s="8">
        <v>1.7</v>
      </c>
      <c r="E57" s="12">
        <v>76</v>
      </c>
      <c r="F57" s="8">
        <v>1.96</v>
      </c>
      <c r="G57" s="12">
        <v>61</v>
      </c>
      <c r="H57" s="8">
        <v>1.48</v>
      </c>
      <c r="I57" s="12">
        <v>0</v>
      </c>
    </row>
    <row r="58" spans="2:9" ht="15" customHeight="1" x14ac:dyDescent="0.2">
      <c r="B58" t="s">
        <v>205</v>
      </c>
      <c r="C58" s="12">
        <v>124</v>
      </c>
      <c r="D58" s="8">
        <v>1.54</v>
      </c>
      <c r="E58" s="12">
        <v>50</v>
      </c>
      <c r="F58" s="8">
        <v>1.29</v>
      </c>
      <c r="G58" s="12">
        <v>74</v>
      </c>
      <c r="H58" s="8">
        <v>1.79</v>
      </c>
      <c r="I58" s="12">
        <v>0</v>
      </c>
    </row>
    <row r="59" spans="2:9" ht="15" customHeight="1" x14ac:dyDescent="0.2">
      <c r="B59" t="s">
        <v>186</v>
      </c>
      <c r="C59" s="12">
        <v>123</v>
      </c>
      <c r="D59" s="8">
        <v>1.53</v>
      </c>
      <c r="E59" s="12">
        <v>69</v>
      </c>
      <c r="F59" s="8">
        <v>1.78</v>
      </c>
      <c r="G59" s="12">
        <v>54</v>
      </c>
      <c r="H59" s="8">
        <v>1.31</v>
      </c>
      <c r="I59" s="12">
        <v>0</v>
      </c>
    </row>
    <row r="60" spans="2:9" ht="15" customHeight="1" x14ac:dyDescent="0.2">
      <c r="B60" t="s">
        <v>162</v>
      </c>
      <c r="C60" s="12">
        <v>123</v>
      </c>
      <c r="D60" s="8">
        <v>1.53</v>
      </c>
      <c r="E60" s="12">
        <v>48</v>
      </c>
      <c r="F60" s="8">
        <v>1.24</v>
      </c>
      <c r="G60" s="12">
        <v>74</v>
      </c>
      <c r="H60" s="8">
        <v>1.79</v>
      </c>
      <c r="I60" s="12">
        <v>0</v>
      </c>
    </row>
    <row r="61" spans="2:9" ht="15" customHeight="1" x14ac:dyDescent="0.2">
      <c r="B61" t="s">
        <v>157</v>
      </c>
      <c r="C61" s="12">
        <v>119</v>
      </c>
      <c r="D61" s="8">
        <v>1.48</v>
      </c>
      <c r="E61" s="12">
        <v>55</v>
      </c>
      <c r="F61" s="8">
        <v>1.42</v>
      </c>
      <c r="G61" s="12">
        <v>64</v>
      </c>
      <c r="H61" s="8">
        <v>1.55</v>
      </c>
      <c r="I61" s="12">
        <v>0</v>
      </c>
    </row>
    <row r="62" spans="2:9" ht="15" customHeight="1" x14ac:dyDescent="0.2">
      <c r="B62" t="s">
        <v>176</v>
      </c>
      <c r="C62" s="12">
        <v>117</v>
      </c>
      <c r="D62" s="8">
        <v>1.45</v>
      </c>
      <c r="E62" s="12">
        <v>103</v>
      </c>
      <c r="F62" s="8">
        <v>2.66</v>
      </c>
      <c r="G62" s="12">
        <v>14</v>
      </c>
      <c r="H62" s="8">
        <v>0.34</v>
      </c>
      <c r="I62" s="12">
        <v>0</v>
      </c>
    </row>
    <row r="63" spans="2:9" ht="15" customHeight="1" x14ac:dyDescent="0.2">
      <c r="B63" t="s">
        <v>154</v>
      </c>
      <c r="C63" s="12">
        <v>113</v>
      </c>
      <c r="D63" s="8">
        <v>1.4</v>
      </c>
      <c r="E63" s="12">
        <v>26</v>
      </c>
      <c r="F63" s="8">
        <v>0.67</v>
      </c>
      <c r="G63" s="12">
        <v>87</v>
      </c>
      <c r="H63" s="8">
        <v>2.11</v>
      </c>
      <c r="I63" s="12">
        <v>0</v>
      </c>
    </row>
    <row r="64" spans="2:9" ht="15" customHeight="1" x14ac:dyDescent="0.2">
      <c r="B64" t="s">
        <v>166</v>
      </c>
      <c r="C64" s="12">
        <v>112</v>
      </c>
      <c r="D64" s="8">
        <v>1.39</v>
      </c>
      <c r="E64" s="12">
        <v>82</v>
      </c>
      <c r="F64" s="8">
        <v>2.11</v>
      </c>
      <c r="G64" s="12">
        <v>30</v>
      </c>
      <c r="H64" s="8">
        <v>0.73</v>
      </c>
      <c r="I64" s="12">
        <v>0</v>
      </c>
    </row>
    <row r="65" spans="2:9" ht="15" customHeight="1" x14ac:dyDescent="0.2">
      <c r="B65" t="s">
        <v>160</v>
      </c>
      <c r="C65" s="12">
        <v>111</v>
      </c>
      <c r="D65" s="8">
        <v>1.38</v>
      </c>
      <c r="E65" s="12">
        <v>17</v>
      </c>
      <c r="F65" s="8">
        <v>0.44</v>
      </c>
      <c r="G65" s="12">
        <v>94</v>
      </c>
      <c r="H65" s="8">
        <v>2.27</v>
      </c>
      <c r="I65" s="12">
        <v>0</v>
      </c>
    </row>
    <row r="66" spans="2:9" ht="15" customHeight="1" x14ac:dyDescent="0.2">
      <c r="B66" t="s">
        <v>159</v>
      </c>
      <c r="C66" s="12">
        <v>110</v>
      </c>
      <c r="D66" s="8">
        <v>1.37</v>
      </c>
      <c r="E66" s="12">
        <v>40</v>
      </c>
      <c r="F66" s="8">
        <v>1.03</v>
      </c>
      <c r="G66" s="12">
        <v>70</v>
      </c>
      <c r="H66" s="8">
        <v>1.69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C572-9148-47D8-8DCF-F09E7BB41F9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3</v>
      </c>
      <c r="D5" s="8">
        <v>0.04</v>
      </c>
      <c r="E5" s="12">
        <v>0</v>
      </c>
      <c r="F5" s="8">
        <v>0</v>
      </c>
      <c r="G5" s="12">
        <v>3</v>
      </c>
      <c r="H5" s="8">
        <v>0.08</v>
      </c>
      <c r="I5" s="12">
        <v>0</v>
      </c>
    </row>
    <row r="6" spans="2:9" ht="15" customHeight="1" x14ac:dyDescent="0.2">
      <c r="B6" t="s">
        <v>72</v>
      </c>
      <c r="C6" s="12">
        <v>1045</v>
      </c>
      <c r="D6" s="8">
        <v>14.39</v>
      </c>
      <c r="E6" s="12">
        <v>273</v>
      </c>
      <c r="F6" s="8">
        <v>7.62</v>
      </c>
      <c r="G6" s="12">
        <v>772</v>
      </c>
      <c r="H6" s="8">
        <v>21.21</v>
      </c>
      <c r="I6" s="12">
        <v>0</v>
      </c>
    </row>
    <row r="7" spans="2:9" ht="15" customHeight="1" x14ac:dyDescent="0.2">
      <c r="B7" t="s">
        <v>73</v>
      </c>
      <c r="C7" s="12">
        <v>905</v>
      </c>
      <c r="D7" s="8">
        <v>12.46</v>
      </c>
      <c r="E7" s="12">
        <v>344</v>
      </c>
      <c r="F7" s="8">
        <v>9.6</v>
      </c>
      <c r="G7" s="12">
        <v>561</v>
      </c>
      <c r="H7" s="8">
        <v>15.41</v>
      </c>
      <c r="I7" s="12">
        <v>0</v>
      </c>
    </row>
    <row r="8" spans="2:9" ht="15" customHeight="1" x14ac:dyDescent="0.2">
      <c r="B8" t="s">
        <v>74</v>
      </c>
      <c r="C8" s="12">
        <v>7</v>
      </c>
      <c r="D8" s="8">
        <v>0.1</v>
      </c>
      <c r="E8" s="12">
        <v>0</v>
      </c>
      <c r="F8" s="8">
        <v>0</v>
      </c>
      <c r="G8" s="12">
        <v>7</v>
      </c>
      <c r="H8" s="8">
        <v>0.19</v>
      </c>
      <c r="I8" s="12">
        <v>0</v>
      </c>
    </row>
    <row r="9" spans="2:9" ht="15" customHeight="1" x14ac:dyDescent="0.2">
      <c r="B9" t="s">
        <v>75</v>
      </c>
      <c r="C9" s="12">
        <v>59</v>
      </c>
      <c r="D9" s="8">
        <v>0.81</v>
      </c>
      <c r="E9" s="12">
        <v>2</v>
      </c>
      <c r="F9" s="8">
        <v>0.06</v>
      </c>
      <c r="G9" s="12">
        <v>57</v>
      </c>
      <c r="H9" s="8">
        <v>1.57</v>
      </c>
      <c r="I9" s="12">
        <v>0</v>
      </c>
    </row>
    <row r="10" spans="2:9" ht="15" customHeight="1" x14ac:dyDescent="0.2">
      <c r="B10" t="s">
        <v>76</v>
      </c>
      <c r="C10" s="12">
        <v>32</v>
      </c>
      <c r="D10" s="8">
        <v>0.44</v>
      </c>
      <c r="E10" s="12">
        <v>5</v>
      </c>
      <c r="F10" s="8">
        <v>0.14000000000000001</v>
      </c>
      <c r="G10" s="12">
        <v>27</v>
      </c>
      <c r="H10" s="8">
        <v>0.74</v>
      </c>
      <c r="I10" s="12">
        <v>0</v>
      </c>
    </row>
    <row r="11" spans="2:9" ht="15" customHeight="1" x14ac:dyDescent="0.2">
      <c r="B11" t="s">
        <v>77</v>
      </c>
      <c r="C11" s="12">
        <v>1601</v>
      </c>
      <c r="D11" s="8">
        <v>22.04</v>
      </c>
      <c r="E11" s="12">
        <v>734</v>
      </c>
      <c r="F11" s="8">
        <v>20.49</v>
      </c>
      <c r="G11" s="12">
        <v>865</v>
      </c>
      <c r="H11" s="8">
        <v>23.76</v>
      </c>
      <c r="I11" s="12">
        <v>2</v>
      </c>
    </row>
    <row r="12" spans="2:9" ht="15" customHeight="1" x14ac:dyDescent="0.2">
      <c r="B12" t="s">
        <v>78</v>
      </c>
      <c r="C12" s="12">
        <v>71</v>
      </c>
      <c r="D12" s="8">
        <v>0.98</v>
      </c>
      <c r="E12" s="12">
        <v>11</v>
      </c>
      <c r="F12" s="8">
        <v>0.31</v>
      </c>
      <c r="G12" s="12">
        <v>60</v>
      </c>
      <c r="H12" s="8">
        <v>1.65</v>
      </c>
      <c r="I12" s="12">
        <v>0</v>
      </c>
    </row>
    <row r="13" spans="2:9" ht="15" customHeight="1" x14ac:dyDescent="0.2">
      <c r="B13" t="s">
        <v>79</v>
      </c>
      <c r="C13" s="12">
        <v>629</v>
      </c>
      <c r="D13" s="8">
        <v>8.66</v>
      </c>
      <c r="E13" s="12">
        <v>186</v>
      </c>
      <c r="F13" s="8">
        <v>5.19</v>
      </c>
      <c r="G13" s="12">
        <v>442</v>
      </c>
      <c r="H13" s="8">
        <v>12.14</v>
      </c>
      <c r="I13" s="12">
        <v>1</v>
      </c>
    </row>
    <row r="14" spans="2:9" ht="15" customHeight="1" x14ac:dyDescent="0.2">
      <c r="B14" t="s">
        <v>80</v>
      </c>
      <c r="C14" s="12">
        <v>425</v>
      </c>
      <c r="D14" s="8">
        <v>5.85</v>
      </c>
      <c r="E14" s="12">
        <v>235</v>
      </c>
      <c r="F14" s="8">
        <v>6.56</v>
      </c>
      <c r="G14" s="12">
        <v>188</v>
      </c>
      <c r="H14" s="8">
        <v>5.16</v>
      </c>
      <c r="I14" s="12">
        <v>0</v>
      </c>
    </row>
    <row r="15" spans="2:9" ht="15" customHeight="1" x14ac:dyDescent="0.2">
      <c r="B15" t="s">
        <v>81</v>
      </c>
      <c r="C15" s="12">
        <v>758</v>
      </c>
      <c r="D15" s="8">
        <v>10.44</v>
      </c>
      <c r="E15" s="12">
        <v>597</v>
      </c>
      <c r="F15" s="8">
        <v>16.670000000000002</v>
      </c>
      <c r="G15" s="12">
        <v>158</v>
      </c>
      <c r="H15" s="8">
        <v>4.34</v>
      </c>
      <c r="I15" s="12">
        <v>2</v>
      </c>
    </row>
    <row r="16" spans="2:9" ht="15" customHeight="1" x14ac:dyDescent="0.2">
      <c r="B16" t="s">
        <v>82</v>
      </c>
      <c r="C16" s="12">
        <v>857</v>
      </c>
      <c r="D16" s="8">
        <v>11.8</v>
      </c>
      <c r="E16" s="12">
        <v>661</v>
      </c>
      <c r="F16" s="8">
        <v>18.45</v>
      </c>
      <c r="G16" s="12">
        <v>192</v>
      </c>
      <c r="H16" s="8">
        <v>5.27</v>
      </c>
      <c r="I16" s="12">
        <v>1</v>
      </c>
    </row>
    <row r="17" spans="2:9" ht="15" customHeight="1" x14ac:dyDescent="0.2">
      <c r="B17" t="s">
        <v>83</v>
      </c>
      <c r="C17" s="12">
        <v>323</v>
      </c>
      <c r="D17" s="8">
        <v>4.45</v>
      </c>
      <c r="E17" s="12">
        <v>242</v>
      </c>
      <c r="F17" s="8">
        <v>6.76</v>
      </c>
      <c r="G17" s="12">
        <v>77</v>
      </c>
      <c r="H17" s="8">
        <v>2.12</v>
      </c>
      <c r="I17" s="12">
        <v>1</v>
      </c>
    </row>
    <row r="18" spans="2:9" ht="15" customHeight="1" x14ac:dyDescent="0.2">
      <c r="B18" t="s">
        <v>84</v>
      </c>
      <c r="C18" s="12">
        <v>311</v>
      </c>
      <c r="D18" s="8">
        <v>4.28</v>
      </c>
      <c r="E18" s="12">
        <v>194</v>
      </c>
      <c r="F18" s="8">
        <v>5.42</v>
      </c>
      <c r="G18" s="12">
        <v>95</v>
      </c>
      <c r="H18" s="8">
        <v>2.61</v>
      </c>
      <c r="I18" s="12">
        <v>0</v>
      </c>
    </row>
    <row r="19" spans="2:9" ht="15" customHeight="1" x14ac:dyDescent="0.2">
      <c r="B19" t="s">
        <v>85</v>
      </c>
      <c r="C19" s="12">
        <v>237</v>
      </c>
      <c r="D19" s="8">
        <v>3.26</v>
      </c>
      <c r="E19" s="12">
        <v>98</v>
      </c>
      <c r="F19" s="8">
        <v>2.74</v>
      </c>
      <c r="G19" s="12">
        <v>136</v>
      </c>
      <c r="H19" s="8">
        <v>3.74</v>
      </c>
      <c r="I19" s="12">
        <v>3</v>
      </c>
    </row>
    <row r="20" spans="2:9" ht="15" customHeight="1" x14ac:dyDescent="0.2">
      <c r="B20" s="9" t="s">
        <v>277</v>
      </c>
      <c r="C20" s="12">
        <f>SUM(LTBL_23202[総数／事業所数])</f>
        <v>7263</v>
      </c>
      <c r="E20" s="12">
        <f>SUBTOTAL(109,LTBL_23202[個人／事業所数])</f>
        <v>3582</v>
      </c>
      <c r="G20" s="12">
        <f>SUBTOTAL(109,LTBL_23202[法人／事業所数])</f>
        <v>3640</v>
      </c>
      <c r="I20" s="12">
        <f>SUBTOTAL(109,LTBL_23202[法人以外の団体／事業所数])</f>
        <v>10</v>
      </c>
    </row>
    <row r="21" spans="2:9" ht="15" customHeight="1" x14ac:dyDescent="0.2">
      <c r="E21" s="11">
        <f>LTBL_23202[[#Totals],[個人／事業所数]]/LTBL_23202[[#Totals],[総数／事業所数]]</f>
        <v>0.49318463444857497</v>
      </c>
      <c r="G21" s="11">
        <f>LTBL_23202[[#Totals],[法人／事業所数]]/LTBL_23202[[#Totals],[総数／事業所数]]</f>
        <v>0.5011703152967093</v>
      </c>
      <c r="I21" s="11">
        <f>LTBL_23202[[#Totals],[法人以外の団体／事業所数]]/LTBL_23202[[#Totals],[総数／事業所数]]</f>
        <v>1.3768415255404102E-3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708</v>
      </c>
      <c r="D24" s="8">
        <v>9.75</v>
      </c>
      <c r="E24" s="12">
        <v>595</v>
      </c>
      <c r="F24" s="8">
        <v>16.61</v>
      </c>
      <c r="G24" s="12">
        <v>113</v>
      </c>
      <c r="H24" s="8">
        <v>3.1</v>
      </c>
      <c r="I24" s="12">
        <v>0</v>
      </c>
    </row>
    <row r="25" spans="2:9" ht="15" customHeight="1" x14ac:dyDescent="0.2">
      <c r="B25" t="s">
        <v>110</v>
      </c>
      <c r="C25" s="12">
        <v>703</v>
      </c>
      <c r="D25" s="8">
        <v>9.68</v>
      </c>
      <c r="E25" s="12">
        <v>585</v>
      </c>
      <c r="F25" s="8">
        <v>16.329999999999998</v>
      </c>
      <c r="G25" s="12">
        <v>116</v>
      </c>
      <c r="H25" s="8">
        <v>3.19</v>
      </c>
      <c r="I25" s="12">
        <v>2</v>
      </c>
    </row>
    <row r="26" spans="2:9" ht="15" customHeight="1" x14ac:dyDescent="0.2">
      <c r="B26" t="s">
        <v>107</v>
      </c>
      <c r="C26" s="12">
        <v>483</v>
      </c>
      <c r="D26" s="8">
        <v>6.65</v>
      </c>
      <c r="E26" s="12">
        <v>151</v>
      </c>
      <c r="F26" s="8">
        <v>4.22</v>
      </c>
      <c r="G26" s="12">
        <v>331</v>
      </c>
      <c r="H26" s="8">
        <v>9.09</v>
      </c>
      <c r="I26" s="12">
        <v>1</v>
      </c>
    </row>
    <row r="27" spans="2:9" ht="15" customHeight="1" x14ac:dyDescent="0.2">
      <c r="B27" t="s">
        <v>94</v>
      </c>
      <c r="C27" s="12">
        <v>436</v>
      </c>
      <c r="D27" s="8">
        <v>6</v>
      </c>
      <c r="E27" s="12">
        <v>93</v>
      </c>
      <c r="F27" s="8">
        <v>2.6</v>
      </c>
      <c r="G27" s="12">
        <v>343</v>
      </c>
      <c r="H27" s="8">
        <v>9.42</v>
      </c>
      <c r="I27" s="12">
        <v>0</v>
      </c>
    </row>
    <row r="28" spans="2:9" ht="15" customHeight="1" x14ac:dyDescent="0.2">
      <c r="B28" t="s">
        <v>105</v>
      </c>
      <c r="C28" s="12">
        <v>417</v>
      </c>
      <c r="D28" s="8">
        <v>5.74</v>
      </c>
      <c r="E28" s="12">
        <v>222</v>
      </c>
      <c r="F28" s="8">
        <v>6.2</v>
      </c>
      <c r="G28" s="12">
        <v>195</v>
      </c>
      <c r="H28" s="8">
        <v>5.36</v>
      </c>
      <c r="I28" s="12">
        <v>0</v>
      </c>
    </row>
    <row r="29" spans="2:9" ht="15" customHeight="1" x14ac:dyDescent="0.2">
      <c r="B29" t="s">
        <v>95</v>
      </c>
      <c r="C29" s="12">
        <v>342</v>
      </c>
      <c r="D29" s="8">
        <v>4.71</v>
      </c>
      <c r="E29" s="12">
        <v>122</v>
      </c>
      <c r="F29" s="8">
        <v>3.41</v>
      </c>
      <c r="G29" s="12">
        <v>220</v>
      </c>
      <c r="H29" s="8">
        <v>6.04</v>
      </c>
      <c r="I29" s="12">
        <v>0</v>
      </c>
    </row>
    <row r="30" spans="2:9" ht="15" customHeight="1" x14ac:dyDescent="0.2">
      <c r="B30" t="s">
        <v>112</v>
      </c>
      <c r="C30" s="12">
        <v>323</v>
      </c>
      <c r="D30" s="8">
        <v>4.45</v>
      </c>
      <c r="E30" s="12">
        <v>242</v>
      </c>
      <c r="F30" s="8">
        <v>6.76</v>
      </c>
      <c r="G30" s="12">
        <v>77</v>
      </c>
      <c r="H30" s="8">
        <v>2.12</v>
      </c>
      <c r="I30" s="12">
        <v>1</v>
      </c>
    </row>
    <row r="31" spans="2:9" ht="15" customHeight="1" x14ac:dyDescent="0.2">
      <c r="B31" t="s">
        <v>104</v>
      </c>
      <c r="C31" s="12">
        <v>289</v>
      </c>
      <c r="D31" s="8">
        <v>3.98</v>
      </c>
      <c r="E31" s="12">
        <v>171</v>
      </c>
      <c r="F31" s="8">
        <v>4.7699999999999996</v>
      </c>
      <c r="G31" s="12">
        <v>118</v>
      </c>
      <c r="H31" s="8">
        <v>3.24</v>
      </c>
      <c r="I31" s="12">
        <v>0</v>
      </c>
    </row>
    <row r="32" spans="2:9" ht="15" customHeight="1" x14ac:dyDescent="0.2">
      <c r="B32" t="s">
        <v>96</v>
      </c>
      <c r="C32" s="12">
        <v>267</v>
      </c>
      <c r="D32" s="8">
        <v>3.68</v>
      </c>
      <c r="E32" s="12">
        <v>58</v>
      </c>
      <c r="F32" s="8">
        <v>1.62</v>
      </c>
      <c r="G32" s="12">
        <v>209</v>
      </c>
      <c r="H32" s="8">
        <v>5.74</v>
      </c>
      <c r="I32" s="12">
        <v>0</v>
      </c>
    </row>
    <row r="33" spans="2:9" ht="15" customHeight="1" x14ac:dyDescent="0.2">
      <c r="B33" t="s">
        <v>108</v>
      </c>
      <c r="C33" s="12">
        <v>267</v>
      </c>
      <c r="D33" s="8">
        <v>3.68</v>
      </c>
      <c r="E33" s="12">
        <v>174</v>
      </c>
      <c r="F33" s="8">
        <v>4.8600000000000003</v>
      </c>
      <c r="G33" s="12">
        <v>93</v>
      </c>
      <c r="H33" s="8">
        <v>2.5499999999999998</v>
      </c>
      <c r="I33" s="12">
        <v>0</v>
      </c>
    </row>
    <row r="34" spans="2:9" ht="15" customHeight="1" x14ac:dyDescent="0.2">
      <c r="B34" t="s">
        <v>103</v>
      </c>
      <c r="C34" s="12">
        <v>242</v>
      </c>
      <c r="D34" s="8">
        <v>3.33</v>
      </c>
      <c r="E34" s="12">
        <v>155</v>
      </c>
      <c r="F34" s="8">
        <v>4.33</v>
      </c>
      <c r="G34" s="12">
        <v>86</v>
      </c>
      <c r="H34" s="8">
        <v>2.36</v>
      </c>
      <c r="I34" s="12">
        <v>1</v>
      </c>
    </row>
    <row r="35" spans="2:9" ht="15" customHeight="1" x14ac:dyDescent="0.2">
      <c r="B35" t="s">
        <v>113</v>
      </c>
      <c r="C35" s="12">
        <v>225</v>
      </c>
      <c r="D35" s="8">
        <v>3.1</v>
      </c>
      <c r="E35" s="12">
        <v>191</v>
      </c>
      <c r="F35" s="8">
        <v>5.33</v>
      </c>
      <c r="G35" s="12">
        <v>34</v>
      </c>
      <c r="H35" s="8">
        <v>0.93</v>
      </c>
      <c r="I35" s="12">
        <v>0</v>
      </c>
    </row>
    <row r="36" spans="2:9" ht="15" customHeight="1" x14ac:dyDescent="0.2">
      <c r="B36" t="s">
        <v>102</v>
      </c>
      <c r="C36" s="12">
        <v>205</v>
      </c>
      <c r="D36" s="8">
        <v>2.82</v>
      </c>
      <c r="E36" s="12">
        <v>105</v>
      </c>
      <c r="F36" s="8">
        <v>2.93</v>
      </c>
      <c r="G36" s="12">
        <v>100</v>
      </c>
      <c r="H36" s="8">
        <v>2.75</v>
      </c>
      <c r="I36" s="12">
        <v>0</v>
      </c>
    </row>
    <row r="37" spans="2:9" ht="15" customHeight="1" x14ac:dyDescent="0.2">
      <c r="B37" t="s">
        <v>98</v>
      </c>
      <c r="C37" s="12">
        <v>157</v>
      </c>
      <c r="D37" s="8">
        <v>2.16</v>
      </c>
      <c r="E37" s="12">
        <v>36</v>
      </c>
      <c r="F37" s="8">
        <v>1.01</v>
      </c>
      <c r="G37" s="12">
        <v>121</v>
      </c>
      <c r="H37" s="8">
        <v>3.32</v>
      </c>
      <c r="I37" s="12">
        <v>0</v>
      </c>
    </row>
    <row r="38" spans="2:9" ht="15" customHeight="1" x14ac:dyDescent="0.2">
      <c r="B38" t="s">
        <v>109</v>
      </c>
      <c r="C38" s="12">
        <v>142</v>
      </c>
      <c r="D38" s="8">
        <v>1.96</v>
      </c>
      <c r="E38" s="12">
        <v>59</v>
      </c>
      <c r="F38" s="8">
        <v>1.65</v>
      </c>
      <c r="G38" s="12">
        <v>81</v>
      </c>
      <c r="H38" s="8">
        <v>2.23</v>
      </c>
      <c r="I38" s="12">
        <v>0</v>
      </c>
    </row>
    <row r="39" spans="2:9" ht="15" customHeight="1" x14ac:dyDescent="0.2">
      <c r="B39" t="s">
        <v>106</v>
      </c>
      <c r="C39" s="12">
        <v>114</v>
      </c>
      <c r="D39" s="8">
        <v>1.57</v>
      </c>
      <c r="E39" s="12">
        <v>29</v>
      </c>
      <c r="F39" s="8">
        <v>0.81</v>
      </c>
      <c r="G39" s="12">
        <v>85</v>
      </c>
      <c r="H39" s="8">
        <v>2.34</v>
      </c>
      <c r="I39" s="12">
        <v>0</v>
      </c>
    </row>
    <row r="40" spans="2:9" ht="15" customHeight="1" x14ac:dyDescent="0.2">
      <c r="B40" t="s">
        <v>101</v>
      </c>
      <c r="C40" s="12">
        <v>107</v>
      </c>
      <c r="D40" s="8">
        <v>1.47</v>
      </c>
      <c r="E40" s="12">
        <v>24</v>
      </c>
      <c r="F40" s="8">
        <v>0.67</v>
      </c>
      <c r="G40" s="12">
        <v>82</v>
      </c>
      <c r="H40" s="8">
        <v>2.25</v>
      </c>
      <c r="I40" s="12">
        <v>1</v>
      </c>
    </row>
    <row r="41" spans="2:9" ht="15" customHeight="1" x14ac:dyDescent="0.2">
      <c r="B41" t="s">
        <v>100</v>
      </c>
      <c r="C41" s="12">
        <v>105</v>
      </c>
      <c r="D41" s="8">
        <v>1.45</v>
      </c>
      <c r="E41" s="12">
        <v>15</v>
      </c>
      <c r="F41" s="8">
        <v>0.42</v>
      </c>
      <c r="G41" s="12">
        <v>90</v>
      </c>
      <c r="H41" s="8">
        <v>2.4700000000000002</v>
      </c>
      <c r="I41" s="12">
        <v>0</v>
      </c>
    </row>
    <row r="42" spans="2:9" ht="15" customHeight="1" x14ac:dyDescent="0.2">
      <c r="B42" t="s">
        <v>125</v>
      </c>
      <c r="C42" s="12">
        <v>102</v>
      </c>
      <c r="D42" s="8">
        <v>1.4</v>
      </c>
      <c r="E42" s="12">
        <v>46</v>
      </c>
      <c r="F42" s="8">
        <v>1.28</v>
      </c>
      <c r="G42" s="12">
        <v>56</v>
      </c>
      <c r="H42" s="8">
        <v>1.54</v>
      </c>
      <c r="I42" s="12">
        <v>0</v>
      </c>
    </row>
    <row r="43" spans="2:9" ht="15" customHeight="1" x14ac:dyDescent="0.2">
      <c r="B43" t="s">
        <v>126</v>
      </c>
      <c r="C43" s="12">
        <v>102</v>
      </c>
      <c r="D43" s="8">
        <v>1.4</v>
      </c>
      <c r="E43" s="12">
        <v>57</v>
      </c>
      <c r="F43" s="8">
        <v>1.59</v>
      </c>
      <c r="G43" s="12">
        <v>45</v>
      </c>
      <c r="H43" s="8">
        <v>1.24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346</v>
      </c>
      <c r="D47" s="8">
        <v>4.76</v>
      </c>
      <c r="E47" s="12">
        <v>312</v>
      </c>
      <c r="F47" s="8">
        <v>8.7100000000000009</v>
      </c>
      <c r="G47" s="12">
        <v>34</v>
      </c>
      <c r="H47" s="8">
        <v>0.93</v>
      </c>
      <c r="I47" s="12">
        <v>0</v>
      </c>
    </row>
    <row r="48" spans="2:9" ht="15" customHeight="1" x14ac:dyDescent="0.2">
      <c r="B48" t="s">
        <v>161</v>
      </c>
      <c r="C48" s="12">
        <v>265</v>
      </c>
      <c r="D48" s="8">
        <v>3.65</v>
      </c>
      <c r="E48" s="12">
        <v>120</v>
      </c>
      <c r="F48" s="8">
        <v>3.35</v>
      </c>
      <c r="G48" s="12">
        <v>145</v>
      </c>
      <c r="H48" s="8">
        <v>3.98</v>
      </c>
      <c r="I48" s="12">
        <v>0</v>
      </c>
    </row>
    <row r="49" spans="2:9" ht="15" customHeight="1" x14ac:dyDescent="0.2">
      <c r="B49" t="s">
        <v>170</v>
      </c>
      <c r="C49" s="12">
        <v>217</v>
      </c>
      <c r="D49" s="8">
        <v>2.99</v>
      </c>
      <c r="E49" s="12">
        <v>172</v>
      </c>
      <c r="F49" s="8">
        <v>4.8</v>
      </c>
      <c r="G49" s="12">
        <v>43</v>
      </c>
      <c r="H49" s="8">
        <v>1.18</v>
      </c>
      <c r="I49" s="12">
        <v>1</v>
      </c>
    </row>
    <row r="50" spans="2:9" ht="15" customHeight="1" x14ac:dyDescent="0.2">
      <c r="B50" t="s">
        <v>167</v>
      </c>
      <c r="C50" s="12">
        <v>197</v>
      </c>
      <c r="D50" s="8">
        <v>2.71</v>
      </c>
      <c r="E50" s="12">
        <v>183</v>
      </c>
      <c r="F50" s="8">
        <v>5.1100000000000003</v>
      </c>
      <c r="G50" s="12">
        <v>14</v>
      </c>
      <c r="H50" s="8">
        <v>0.38</v>
      </c>
      <c r="I50" s="12">
        <v>0</v>
      </c>
    </row>
    <row r="51" spans="2:9" ht="15" customHeight="1" x14ac:dyDescent="0.2">
      <c r="B51" t="s">
        <v>163</v>
      </c>
      <c r="C51" s="12">
        <v>196</v>
      </c>
      <c r="D51" s="8">
        <v>2.7</v>
      </c>
      <c r="E51" s="12">
        <v>144</v>
      </c>
      <c r="F51" s="8">
        <v>4.0199999999999996</v>
      </c>
      <c r="G51" s="12">
        <v>52</v>
      </c>
      <c r="H51" s="8">
        <v>1.43</v>
      </c>
      <c r="I51" s="12">
        <v>0</v>
      </c>
    </row>
    <row r="52" spans="2:9" ht="15" customHeight="1" x14ac:dyDescent="0.2">
      <c r="B52" t="s">
        <v>171</v>
      </c>
      <c r="C52" s="12">
        <v>174</v>
      </c>
      <c r="D52" s="8">
        <v>2.4</v>
      </c>
      <c r="E52" s="12">
        <v>151</v>
      </c>
      <c r="F52" s="8">
        <v>4.22</v>
      </c>
      <c r="G52" s="12">
        <v>23</v>
      </c>
      <c r="H52" s="8">
        <v>0.63</v>
      </c>
      <c r="I52" s="12">
        <v>0</v>
      </c>
    </row>
    <row r="53" spans="2:9" ht="15" customHeight="1" x14ac:dyDescent="0.2">
      <c r="B53" t="s">
        <v>156</v>
      </c>
      <c r="C53" s="12">
        <v>169</v>
      </c>
      <c r="D53" s="8">
        <v>2.33</v>
      </c>
      <c r="E53" s="12">
        <v>95</v>
      </c>
      <c r="F53" s="8">
        <v>2.65</v>
      </c>
      <c r="G53" s="12">
        <v>74</v>
      </c>
      <c r="H53" s="8">
        <v>2.0299999999999998</v>
      </c>
      <c r="I53" s="12">
        <v>0</v>
      </c>
    </row>
    <row r="54" spans="2:9" ht="15" customHeight="1" x14ac:dyDescent="0.2">
      <c r="B54" t="s">
        <v>165</v>
      </c>
      <c r="C54" s="12">
        <v>158</v>
      </c>
      <c r="D54" s="8">
        <v>2.1800000000000002</v>
      </c>
      <c r="E54" s="12">
        <v>142</v>
      </c>
      <c r="F54" s="8">
        <v>3.96</v>
      </c>
      <c r="G54" s="12">
        <v>14</v>
      </c>
      <c r="H54" s="8">
        <v>0.38</v>
      </c>
      <c r="I54" s="12">
        <v>2</v>
      </c>
    </row>
    <row r="55" spans="2:9" ht="15" customHeight="1" x14ac:dyDescent="0.2">
      <c r="B55" t="s">
        <v>164</v>
      </c>
      <c r="C55" s="12">
        <v>152</v>
      </c>
      <c r="D55" s="8">
        <v>2.09</v>
      </c>
      <c r="E55" s="12">
        <v>138</v>
      </c>
      <c r="F55" s="8">
        <v>3.85</v>
      </c>
      <c r="G55" s="12">
        <v>14</v>
      </c>
      <c r="H55" s="8">
        <v>0.38</v>
      </c>
      <c r="I55" s="12">
        <v>0</v>
      </c>
    </row>
    <row r="56" spans="2:9" ht="15" customHeight="1" x14ac:dyDescent="0.2">
      <c r="B56" t="s">
        <v>160</v>
      </c>
      <c r="C56" s="12">
        <v>143</v>
      </c>
      <c r="D56" s="8">
        <v>1.97</v>
      </c>
      <c r="E56" s="12">
        <v>17</v>
      </c>
      <c r="F56" s="8">
        <v>0.47</v>
      </c>
      <c r="G56" s="12">
        <v>126</v>
      </c>
      <c r="H56" s="8">
        <v>3.46</v>
      </c>
      <c r="I56" s="12">
        <v>0</v>
      </c>
    </row>
    <row r="57" spans="2:9" ht="15" customHeight="1" x14ac:dyDescent="0.2">
      <c r="B57" t="s">
        <v>158</v>
      </c>
      <c r="C57" s="12">
        <v>139</v>
      </c>
      <c r="D57" s="8">
        <v>1.91</v>
      </c>
      <c r="E57" s="12">
        <v>77</v>
      </c>
      <c r="F57" s="8">
        <v>2.15</v>
      </c>
      <c r="G57" s="12">
        <v>62</v>
      </c>
      <c r="H57" s="8">
        <v>1.7</v>
      </c>
      <c r="I57" s="12">
        <v>0</v>
      </c>
    </row>
    <row r="58" spans="2:9" ht="15" customHeight="1" x14ac:dyDescent="0.2">
      <c r="B58" t="s">
        <v>154</v>
      </c>
      <c r="C58" s="12">
        <v>138</v>
      </c>
      <c r="D58" s="8">
        <v>1.9</v>
      </c>
      <c r="E58" s="12">
        <v>30</v>
      </c>
      <c r="F58" s="8">
        <v>0.84</v>
      </c>
      <c r="G58" s="12">
        <v>108</v>
      </c>
      <c r="H58" s="8">
        <v>2.97</v>
      </c>
      <c r="I58" s="12">
        <v>0</v>
      </c>
    </row>
    <row r="59" spans="2:9" ht="15" customHeight="1" x14ac:dyDescent="0.2">
      <c r="B59" t="s">
        <v>205</v>
      </c>
      <c r="C59" s="12">
        <v>129</v>
      </c>
      <c r="D59" s="8">
        <v>1.78</v>
      </c>
      <c r="E59" s="12">
        <v>41</v>
      </c>
      <c r="F59" s="8">
        <v>1.1399999999999999</v>
      </c>
      <c r="G59" s="12">
        <v>88</v>
      </c>
      <c r="H59" s="8">
        <v>2.42</v>
      </c>
      <c r="I59" s="12">
        <v>0</v>
      </c>
    </row>
    <row r="60" spans="2:9" ht="15" customHeight="1" x14ac:dyDescent="0.2">
      <c r="B60" t="s">
        <v>153</v>
      </c>
      <c r="C60" s="12">
        <v>116</v>
      </c>
      <c r="D60" s="8">
        <v>1.6</v>
      </c>
      <c r="E60" s="12">
        <v>12</v>
      </c>
      <c r="F60" s="8">
        <v>0.34</v>
      </c>
      <c r="G60" s="12">
        <v>104</v>
      </c>
      <c r="H60" s="8">
        <v>2.86</v>
      </c>
      <c r="I60" s="12">
        <v>0</v>
      </c>
    </row>
    <row r="61" spans="2:9" ht="15" customHeight="1" x14ac:dyDescent="0.2">
      <c r="B61" t="s">
        <v>152</v>
      </c>
      <c r="C61" s="12">
        <v>115</v>
      </c>
      <c r="D61" s="8">
        <v>1.58</v>
      </c>
      <c r="E61" s="12">
        <v>25</v>
      </c>
      <c r="F61" s="8">
        <v>0.7</v>
      </c>
      <c r="G61" s="12">
        <v>90</v>
      </c>
      <c r="H61" s="8">
        <v>2.4700000000000002</v>
      </c>
      <c r="I61" s="12">
        <v>0</v>
      </c>
    </row>
    <row r="62" spans="2:9" ht="15" customHeight="1" x14ac:dyDescent="0.2">
      <c r="B62" t="s">
        <v>157</v>
      </c>
      <c r="C62" s="12">
        <v>100</v>
      </c>
      <c r="D62" s="8">
        <v>1.38</v>
      </c>
      <c r="E62" s="12">
        <v>56</v>
      </c>
      <c r="F62" s="8">
        <v>1.56</v>
      </c>
      <c r="G62" s="12">
        <v>44</v>
      </c>
      <c r="H62" s="8">
        <v>1.21</v>
      </c>
      <c r="I62" s="12">
        <v>0</v>
      </c>
    </row>
    <row r="63" spans="2:9" ht="15" customHeight="1" x14ac:dyDescent="0.2">
      <c r="B63" t="s">
        <v>188</v>
      </c>
      <c r="C63" s="12">
        <v>100</v>
      </c>
      <c r="D63" s="8">
        <v>1.38</v>
      </c>
      <c r="E63" s="12">
        <v>72</v>
      </c>
      <c r="F63" s="8">
        <v>2.0099999999999998</v>
      </c>
      <c r="G63" s="12">
        <v>28</v>
      </c>
      <c r="H63" s="8">
        <v>0.77</v>
      </c>
      <c r="I63" s="12">
        <v>0</v>
      </c>
    </row>
    <row r="64" spans="2:9" ht="15" customHeight="1" x14ac:dyDescent="0.2">
      <c r="B64" t="s">
        <v>198</v>
      </c>
      <c r="C64" s="12">
        <v>96</v>
      </c>
      <c r="D64" s="8">
        <v>1.32</v>
      </c>
      <c r="E64" s="12">
        <v>55</v>
      </c>
      <c r="F64" s="8">
        <v>1.54</v>
      </c>
      <c r="G64" s="12">
        <v>41</v>
      </c>
      <c r="H64" s="8">
        <v>1.1299999999999999</v>
      </c>
      <c r="I64" s="12">
        <v>0</v>
      </c>
    </row>
    <row r="65" spans="2:9" ht="15" customHeight="1" x14ac:dyDescent="0.2">
      <c r="B65" t="s">
        <v>169</v>
      </c>
      <c r="C65" s="12">
        <v>96</v>
      </c>
      <c r="D65" s="8">
        <v>1.32</v>
      </c>
      <c r="E65" s="12">
        <v>69</v>
      </c>
      <c r="F65" s="8">
        <v>1.93</v>
      </c>
      <c r="G65" s="12">
        <v>27</v>
      </c>
      <c r="H65" s="8">
        <v>0.74</v>
      </c>
      <c r="I65" s="12">
        <v>0</v>
      </c>
    </row>
    <row r="66" spans="2:9" ht="15" customHeight="1" x14ac:dyDescent="0.2">
      <c r="B66" t="s">
        <v>159</v>
      </c>
      <c r="C66" s="12">
        <v>89</v>
      </c>
      <c r="D66" s="8">
        <v>1.23</v>
      </c>
      <c r="E66" s="12">
        <v>26</v>
      </c>
      <c r="F66" s="8">
        <v>0.73</v>
      </c>
      <c r="G66" s="12">
        <v>63</v>
      </c>
      <c r="H66" s="8">
        <v>1.73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205B-2B5E-4DA3-B98F-E98CA69CE7E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72</v>
      </c>
      <c r="C6" s="12">
        <v>1407</v>
      </c>
      <c r="D6" s="8">
        <v>14.16</v>
      </c>
      <c r="E6" s="12">
        <v>468</v>
      </c>
      <c r="F6" s="8">
        <v>8.76</v>
      </c>
      <c r="G6" s="12">
        <v>939</v>
      </c>
      <c r="H6" s="8">
        <v>20.57</v>
      </c>
      <c r="I6" s="12">
        <v>0</v>
      </c>
    </row>
    <row r="7" spans="2:9" ht="15" customHeight="1" x14ac:dyDescent="0.2">
      <c r="B7" t="s">
        <v>73</v>
      </c>
      <c r="C7" s="12">
        <v>1623</v>
      </c>
      <c r="D7" s="8">
        <v>16.329999999999998</v>
      </c>
      <c r="E7" s="12">
        <v>818</v>
      </c>
      <c r="F7" s="8">
        <v>15.31</v>
      </c>
      <c r="G7" s="12">
        <v>805</v>
      </c>
      <c r="H7" s="8">
        <v>17.63</v>
      </c>
      <c r="I7" s="12">
        <v>0</v>
      </c>
    </row>
    <row r="8" spans="2:9" ht="15" customHeight="1" x14ac:dyDescent="0.2">
      <c r="B8" t="s">
        <v>74</v>
      </c>
      <c r="C8" s="12">
        <v>20</v>
      </c>
      <c r="D8" s="8">
        <v>0.2</v>
      </c>
      <c r="E8" s="12">
        <v>2</v>
      </c>
      <c r="F8" s="8">
        <v>0.04</v>
      </c>
      <c r="G8" s="12">
        <v>18</v>
      </c>
      <c r="H8" s="8">
        <v>0.39</v>
      </c>
      <c r="I8" s="12">
        <v>0</v>
      </c>
    </row>
    <row r="9" spans="2:9" ht="15" customHeight="1" x14ac:dyDescent="0.2">
      <c r="B9" t="s">
        <v>75</v>
      </c>
      <c r="C9" s="12">
        <v>71</v>
      </c>
      <c r="D9" s="8">
        <v>0.71</v>
      </c>
      <c r="E9" s="12">
        <v>5</v>
      </c>
      <c r="F9" s="8">
        <v>0.09</v>
      </c>
      <c r="G9" s="12">
        <v>66</v>
      </c>
      <c r="H9" s="8">
        <v>1.45</v>
      </c>
      <c r="I9" s="12">
        <v>0</v>
      </c>
    </row>
    <row r="10" spans="2:9" ht="15" customHeight="1" x14ac:dyDescent="0.2">
      <c r="B10" t="s">
        <v>76</v>
      </c>
      <c r="C10" s="12">
        <v>107</v>
      </c>
      <c r="D10" s="8">
        <v>1.08</v>
      </c>
      <c r="E10" s="12">
        <v>21</v>
      </c>
      <c r="F10" s="8">
        <v>0.39</v>
      </c>
      <c r="G10" s="12">
        <v>86</v>
      </c>
      <c r="H10" s="8">
        <v>1.88</v>
      </c>
      <c r="I10" s="12">
        <v>0</v>
      </c>
    </row>
    <row r="11" spans="2:9" ht="15" customHeight="1" x14ac:dyDescent="0.2">
      <c r="B11" t="s">
        <v>77</v>
      </c>
      <c r="C11" s="12">
        <v>1844</v>
      </c>
      <c r="D11" s="8">
        <v>18.55</v>
      </c>
      <c r="E11" s="12">
        <v>871</v>
      </c>
      <c r="F11" s="8">
        <v>16.3</v>
      </c>
      <c r="G11" s="12">
        <v>972</v>
      </c>
      <c r="H11" s="8">
        <v>21.29</v>
      </c>
      <c r="I11" s="12">
        <v>1</v>
      </c>
    </row>
    <row r="12" spans="2:9" ht="15" customHeight="1" x14ac:dyDescent="0.2">
      <c r="B12" t="s">
        <v>78</v>
      </c>
      <c r="C12" s="12">
        <v>54</v>
      </c>
      <c r="D12" s="8">
        <v>0.54</v>
      </c>
      <c r="E12" s="12">
        <v>10</v>
      </c>
      <c r="F12" s="8">
        <v>0.19</v>
      </c>
      <c r="G12" s="12">
        <v>44</v>
      </c>
      <c r="H12" s="8">
        <v>0.96</v>
      </c>
      <c r="I12" s="12">
        <v>0</v>
      </c>
    </row>
    <row r="13" spans="2:9" ht="15" customHeight="1" x14ac:dyDescent="0.2">
      <c r="B13" t="s">
        <v>79</v>
      </c>
      <c r="C13" s="12">
        <v>889</v>
      </c>
      <c r="D13" s="8">
        <v>8.94</v>
      </c>
      <c r="E13" s="12">
        <v>317</v>
      </c>
      <c r="F13" s="8">
        <v>5.93</v>
      </c>
      <c r="G13" s="12">
        <v>572</v>
      </c>
      <c r="H13" s="8">
        <v>12.53</v>
      </c>
      <c r="I13" s="12">
        <v>0</v>
      </c>
    </row>
    <row r="14" spans="2:9" ht="15" customHeight="1" x14ac:dyDescent="0.2">
      <c r="B14" t="s">
        <v>80</v>
      </c>
      <c r="C14" s="12">
        <v>523</v>
      </c>
      <c r="D14" s="8">
        <v>5.26</v>
      </c>
      <c r="E14" s="12">
        <v>318</v>
      </c>
      <c r="F14" s="8">
        <v>5.95</v>
      </c>
      <c r="G14" s="12">
        <v>203</v>
      </c>
      <c r="H14" s="8">
        <v>4.45</v>
      </c>
      <c r="I14" s="12">
        <v>1</v>
      </c>
    </row>
    <row r="15" spans="2:9" ht="15" customHeight="1" x14ac:dyDescent="0.2">
      <c r="B15" t="s">
        <v>81</v>
      </c>
      <c r="C15" s="12">
        <v>980</v>
      </c>
      <c r="D15" s="8">
        <v>9.86</v>
      </c>
      <c r="E15" s="12">
        <v>820</v>
      </c>
      <c r="F15" s="8">
        <v>15.34</v>
      </c>
      <c r="G15" s="12">
        <v>158</v>
      </c>
      <c r="H15" s="8">
        <v>3.46</v>
      </c>
      <c r="I15" s="12">
        <v>0</v>
      </c>
    </row>
    <row r="16" spans="2:9" ht="15" customHeight="1" x14ac:dyDescent="0.2">
      <c r="B16" t="s">
        <v>82</v>
      </c>
      <c r="C16" s="12">
        <v>1017</v>
      </c>
      <c r="D16" s="8">
        <v>10.23</v>
      </c>
      <c r="E16" s="12">
        <v>775</v>
      </c>
      <c r="F16" s="8">
        <v>14.5</v>
      </c>
      <c r="G16" s="12">
        <v>241</v>
      </c>
      <c r="H16" s="8">
        <v>5.28</v>
      </c>
      <c r="I16" s="12">
        <v>1</v>
      </c>
    </row>
    <row r="17" spans="2:9" ht="15" customHeight="1" x14ac:dyDescent="0.2">
      <c r="B17" t="s">
        <v>83</v>
      </c>
      <c r="C17" s="12">
        <v>500</v>
      </c>
      <c r="D17" s="8">
        <v>5.03</v>
      </c>
      <c r="E17" s="12">
        <v>393</v>
      </c>
      <c r="F17" s="8">
        <v>7.35</v>
      </c>
      <c r="G17" s="12">
        <v>92</v>
      </c>
      <c r="H17" s="8">
        <v>2.0099999999999998</v>
      </c>
      <c r="I17" s="12">
        <v>2</v>
      </c>
    </row>
    <row r="18" spans="2:9" ht="15" customHeight="1" x14ac:dyDescent="0.2">
      <c r="B18" t="s">
        <v>84</v>
      </c>
      <c r="C18" s="12">
        <v>552</v>
      </c>
      <c r="D18" s="8">
        <v>5.55</v>
      </c>
      <c r="E18" s="12">
        <v>349</v>
      </c>
      <c r="F18" s="8">
        <v>6.53</v>
      </c>
      <c r="G18" s="12">
        <v>199</v>
      </c>
      <c r="H18" s="8">
        <v>4.3600000000000003</v>
      </c>
      <c r="I18" s="12">
        <v>0</v>
      </c>
    </row>
    <row r="19" spans="2:9" ht="15" customHeight="1" x14ac:dyDescent="0.2">
      <c r="B19" t="s">
        <v>85</v>
      </c>
      <c r="C19" s="12">
        <v>351</v>
      </c>
      <c r="D19" s="8">
        <v>3.53</v>
      </c>
      <c r="E19" s="12">
        <v>177</v>
      </c>
      <c r="F19" s="8">
        <v>3.31</v>
      </c>
      <c r="G19" s="12">
        <v>170</v>
      </c>
      <c r="H19" s="8">
        <v>3.72</v>
      </c>
      <c r="I19" s="12">
        <v>4</v>
      </c>
    </row>
    <row r="20" spans="2:9" ht="15" customHeight="1" x14ac:dyDescent="0.2">
      <c r="B20" s="9" t="s">
        <v>277</v>
      </c>
      <c r="C20" s="12">
        <f>SUM(LTBL_23203[総数／事業所数])</f>
        <v>9939</v>
      </c>
      <c r="E20" s="12">
        <f>SUBTOTAL(109,LTBL_23203[個人／事業所数])</f>
        <v>5344</v>
      </c>
      <c r="G20" s="12">
        <f>SUBTOTAL(109,LTBL_23203[法人／事業所数])</f>
        <v>4566</v>
      </c>
      <c r="I20" s="12">
        <f>SUBTOTAL(109,LTBL_23203[法人以外の団体／事業所数])</f>
        <v>9</v>
      </c>
    </row>
    <row r="21" spans="2:9" ht="15" customHeight="1" x14ac:dyDescent="0.2">
      <c r="E21" s="11">
        <f>LTBL_23203[[#Totals],[個人／事業所数]]/LTBL_23203[[#Totals],[総数／事業所数]]</f>
        <v>0.53767984706710936</v>
      </c>
      <c r="G21" s="11">
        <f>LTBL_23203[[#Totals],[法人／事業所数]]/LTBL_23203[[#Totals],[総数／事業所数]]</f>
        <v>0.45940235436160581</v>
      </c>
      <c r="I21" s="11">
        <f>LTBL_23203[[#Totals],[法人以外の団体／事業所数]]/LTBL_23203[[#Totals],[総数／事業所数]]</f>
        <v>9.0552369453667371E-4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882</v>
      </c>
      <c r="D24" s="8">
        <v>8.8699999999999992</v>
      </c>
      <c r="E24" s="12">
        <v>796</v>
      </c>
      <c r="F24" s="8">
        <v>14.9</v>
      </c>
      <c r="G24" s="12">
        <v>86</v>
      </c>
      <c r="H24" s="8">
        <v>1.88</v>
      </c>
      <c r="I24" s="12">
        <v>0</v>
      </c>
    </row>
    <row r="25" spans="2:9" ht="15" customHeight="1" x14ac:dyDescent="0.2">
      <c r="B25" t="s">
        <v>111</v>
      </c>
      <c r="C25" s="12">
        <v>831</v>
      </c>
      <c r="D25" s="8">
        <v>8.36</v>
      </c>
      <c r="E25" s="12">
        <v>677</v>
      </c>
      <c r="F25" s="8">
        <v>12.67</v>
      </c>
      <c r="G25" s="12">
        <v>154</v>
      </c>
      <c r="H25" s="8">
        <v>3.37</v>
      </c>
      <c r="I25" s="12">
        <v>0</v>
      </c>
    </row>
    <row r="26" spans="2:9" ht="15" customHeight="1" x14ac:dyDescent="0.2">
      <c r="B26" t="s">
        <v>125</v>
      </c>
      <c r="C26" s="12">
        <v>785</v>
      </c>
      <c r="D26" s="8">
        <v>7.9</v>
      </c>
      <c r="E26" s="12">
        <v>489</v>
      </c>
      <c r="F26" s="8">
        <v>9.15</v>
      </c>
      <c r="G26" s="12">
        <v>296</v>
      </c>
      <c r="H26" s="8">
        <v>6.48</v>
      </c>
      <c r="I26" s="12">
        <v>0</v>
      </c>
    </row>
    <row r="27" spans="2:9" ht="15" customHeight="1" x14ac:dyDescent="0.2">
      <c r="B27" t="s">
        <v>107</v>
      </c>
      <c r="C27" s="12">
        <v>703</v>
      </c>
      <c r="D27" s="8">
        <v>7.07</v>
      </c>
      <c r="E27" s="12">
        <v>273</v>
      </c>
      <c r="F27" s="8">
        <v>5.1100000000000003</v>
      </c>
      <c r="G27" s="12">
        <v>430</v>
      </c>
      <c r="H27" s="8">
        <v>9.42</v>
      </c>
      <c r="I27" s="12">
        <v>0</v>
      </c>
    </row>
    <row r="28" spans="2:9" ht="15" customHeight="1" x14ac:dyDescent="0.2">
      <c r="B28" t="s">
        <v>94</v>
      </c>
      <c r="C28" s="12">
        <v>519</v>
      </c>
      <c r="D28" s="8">
        <v>5.22</v>
      </c>
      <c r="E28" s="12">
        <v>141</v>
      </c>
      <c r="F28" s="8">
        <v>2.64</v>
      </c>
      <c r="G28" s="12">
        <v>378</v>
      </c>
      <c r="H28" s="8">
        <v>8.2799999999999994</v>
      </c>
      <c r="I28" s="12">
        <v>0</v>
      </c>
    </row>
    <row r="29" spans="2:9" ht="15" customHeight="1" x14ac:dyDescent="0.2">
      <c r="B29" t="s">
        <v>95</v>
      </c>
      <c r="C29" s="12">
        <v>506</v>
      </c>
      <c r="D29" s="8">
        <v>5.09</v>
      </c>
      <c r="E29" s="12">
        <v>208</v>
      </c>
      <c r="F29" s="8">
        <v>3.89</v>
      </c>
      <c r="G29" s="12">
        <v>298</v>
      </c>
      <c r="H29" s="8">
        <v>6.53</v>
      </c>
      <c r="I29" s="12">
        <v>0</v>
      </c>
    </row>
    <row r="30" spans="2:9" ht="15" customHeight="1" x14ac:dyDescent="0.2">
      <c r="B30" t="s">
        <v>112</v>
      </c>
      <c r="C30" s="12">
        <v>500</v>
      </c>
      <c r="D30" s="8">
        <v>5.03</v>
      </c>
      <c r="E30" s="12">
        <v>393</v>
      </c>
      <c r="F30" s="8">
        <v>7.35</v>
      </c>
      <c r="G30" s="12">
        <v>92</v>
      </c>
      <c r="H30" s="8">
        <v>2.0099999999999998</v>
      </c>
      <c r="I30" s="12">
        <v>2</v>
      </c>
    </row>
    <row r="31" spans="2:9" ht="15" customHeight="1" x14ac:dyDescent="0.2">
      <c r="B31" t="s">
        <v>105</v>
      </c>
      <c r="C31" s="12">
        <v>480</v>
      </c>
      <c r="D31" s="8">
        <v>4.83</v>
      </c>
      <c r="E31" s="12">
        <v>282</v>
      </c>
      <c r="F31" s="8">
        <v>5.28</v>
      </c>
      <c r="G31" s="12">
        <v>198</v>
      </c>
      <c r="H31" s="8">
        <v>4.34</v>
      </c>
      <c r="I31" s="12">
        <v>0</v>
      </c>
    </row>
    <row r="32" spans="2:9" ht="15" customHeight="1" x14ac:dyDescent="0.2">
      <c r="B32" t="s">
        <v>96</v>
      </c>
      <c r="C32" s="12">
        <v>382</v>
      </c>
      <c r="D32" s="8">
        <v>3.84</v>
      </c>
      <c r="E32" s="12">
        <v>119</v>
      </c>
      <c r="F32" s="8">
        <v>2.23</v>
      </c>
      <c r="G32" s="12">
        <v>263</v>
      </c>
      <c r="H32" s="8">
        <v>5.76</v>
      </c>
      <c r="I32" s="12">
        <v>0</v>
      </c>
    </row>
    <row r="33" spans="2:9" ht="15" customHeight="1" x14ac:dyDescent="0.2">
      <c r="B33" t="s">
        <v>113</v>
      </c>
      <c r="C33" s="12">
        <v>381</v>
      </c>
      <c r="D33" s="8">
        <v>3.83</v>
      </c>
      <c r="E33" s="12">
        <v>347</v>
      </c>
      <c r="F33" s="8">
        <v>6.49</v>
      </c>
      <c r="G33" s="12">
        <v>34</v>
      </c>
      <c r="H33" s="8">
        <v>0.74</v>
      </c>
      <c r="I33" s="12">
        <v>0</v>
      </c>
    </row>
    <row r="34" spans="2:9" ht="15" customHeight="1" x14ac:dyDescent="0.2">
      <c r="B34" t="s">
        <v>104</v>
      </c>
      <c r="C34" s="12">
        <v>341</v>
      </c>
      <c r="D34" s="8">
        <v>3.43</v>
      </c>
      <c r="E34" s="12">
        <v>184</v>
      </c>
      <c r="F34" s="8">
        <v>3.44</v>
      </c>
      <c r="G34" s="12">
        <v>157</v>
      </c>
      <c r="H34" s="8">
        <v>3.44</v>
      </c>
      <c r="I34" s="12">
        <v>0</v>
      </c>
    </row>
    <row r="35" spans="2:9" ht="15" customHeight="1" x14ac:dyDescent="0.2">
      <c r="B35" t="s">
        <v>108</v>
      </c>
      <c r="C35" s="12">
        <v>338</v>
      </c>
      <c r="D35" s="8">
        <v>3.4</v>
      </c>
      <c r="E35" s="12">
        <v>222</v>
      </c>
      <c r="F35" s="8">
        <v>4.1500000000000004</v>
      </c>
      <c r="G35" s="12">
        <v>115</v>
      </c>
      <c r="H35" s="8">
        <v>2.52</v>
      </c>
      <c r="I35" s="12">
        <v>1</v>
      </c>
    </row>
    <row r="36" spans="2:9" ht="15" customHeight="1" x14ac:dyDescent="0.2">
      <c r="B36" t="s">
        <v>103</v>
      </c>
      <c r="C36" s="12">
        <v>239</v>
      </c>
      <c r="D36" s="8">
        <v>2.4</v>
      </c>
      <c r="E36" s="12">
        <v>161</v>
      </c>
      <c r="F36" s="8">
        <v>3.01</v>
      </c>
      <c r="G36" s="12">
        <v>77</v>
      </c>
      <c r="H36" s="8">
        <v>1.69</v>
      </c>
      <c r="I36" s="12">
        <v>1</v>
      </c>
    </row>
    <row r="37" spans="2:9" ht="15" customHeight="1" x14ac:dyDescent="0.2">
      <c r="B37" t="s">
        <v>116</v>
      </c>
      <c r="C37" s="12">
        <v>171</v>
      </c>
      <c r="D37" s="8">
        <v>1.72</v>
      </c>
      <c r="E37" s="12">
        <v>2</v>
      </c>
      <c r="F37" s="8">
        <v>0.04</v>
      </c>
      <c r="G37" s="12">
        <v>165</v>
      </c>
      <c r="H37" s="8">
        <v>3.61</v>
      </c>
      <c r="I37" s="12">
        <v>0</v>
      </c>
    </row>
    <row r="38" spans="2:9" ht="15" customHeight="1" x14ac:dyDescent="0.2">
      <c r="B38" t="s">
        <v>109</v>
      </c>
      <c r="C38" s="12">
        <v>170</v>
      </c>
      <c r="D38" s="8">
        <v>1.71</v>
      </c>
      <c r="E38" s="12">
        <v>94</v>
      </c>
      <c r="F38" s="8">
        <v>1.76</v>
      </c>
      <c r="G38" s="12">
        <v>75</v>
      </c>
      <c r="H38" s="8">
        <v>1.64</v>
      </c>
      <c r="I38" s="12">
        <v>0</v>
      </c>
    </row>
    <row r="39" spans="2:9" ht="15" customHeight="1" x14ac:dyDescent="0.2">
      <c r="B39" t="s">
        <v>102</v>
      </c>
      <c r="C39" s="12">
        <v>167</v>
      </c>
      <c r="D39" s="8">
        <v>1.68</v>
      </c>
      <c r="E39" s="12">
        <v>88</v>
      </c>
      <c r="F39" s="8">
        <v>1.65</v>
      </c>
      <c r="G39" s="12">
        <v>79</v>
      </c>
      <c r="H39" s="8">
        <v>1.73</v>
      </c>
      <c r="I39" s="12">
        <v>0</v>
      </c>
    </row>
    <row r="40" spans="2:9" ht="15" customHeight="1" x14ac:dyDescent="0.2">
      <c r="B40" t="s">
        <v>106</v>
      </c>
      <c r="C40" s="12">
        <v>146</v>
      </c>
      <c r="D40" s="8">
        <v>1.47</v>
      </c>
      <c r="E40" s="12">
        <v>32</v>
      </c>
      <c r="F40" s="8">
        <v>0.6</v>
      </c>
      <c r="G40" s="12">
        <v>114</v>
      </c>
      <c r="H40" s="8">
        <v>2.5</v>
      </c>
      <c r="I40" s="12">
        <v>0</v>
      </c>
    </row>
    <row r="41" spans="2:9" ht="15" customHeight="1" x14ac:dyDescent="0.2">
      <c r="B41" t="s">
        <v>98</v>
      </c>
      <c r="C41" s="12">
        <v>132</v>
      </c>
      <c r="D41" s="8">
        <v>1.33</v>
      </c>
      <c r="E41" s="12">
        <v>31</v>
      </c>
      <c r="F41" s="8">
        <v>0.57999999999999996</v>
      </c>
      <c r="G41" s="12">
        <v>101</v>
      </c>
      <c r="H41" s="8">
        <v>2.21</v>
      </c>
      <c r="I41" s="12">
        <v>0</v>
      </c>
    </row>
    <row r="42" spans="2:9" ht="15" customHeight="1" x14ac:dyDescent="0.2">
      <c r="B42" t="s">
        <v>100</v>
      </c>
      <c r="C42" s="12">
        <v>132</v>
      </c>
      <c r="D42" s="8">
        <v>1.33</v>
      </c>
      <c r="E42" s="12">
        <v>26</v>
      </c>
      <c r="F42" s="8">
        <v>0.49</v>
      </c>
      <c r="G42" s="12">
        <v>106</v>
      </c>
      <c r="H42" s="8">
        <v>2.3199999999999998</v>
      </c>
      <c r="I42" s="12">
        <v>0</v>
      </c>
    </row>
    <row r="43" spans="2:9" ht="15" customHeight="1" x14ac:dyDescent="0.2">
      <c r="B43" t="s">
        <v>122</v>
      </c>
      <c r="C43" s="12">
        <v>131</v>
      </c>
      <c r="D43" s="8">
        <v>1.32</v>
      </c>
      <c r="E43" s="12">
        <v>94</v>
      </c>
      <c r="F43" s="8">
        <v>1.76</v>
      </c>
      <c r="G43" s="12">
        <v>37</v>
      </c>
      <c r="H43" s="8">
        <v>0.81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375</v>
      </c>
      <c r="D47" s="8">
        <v>3.77</v>
      </c>
      <c r="E47" s="12">
        <v>334</v>
      </c>
      <c r="F47" s="8">
        <v>6.25</v>
      </c>
      <c r="G47" s="12">
        <v>41</v>
      </c>
      <c r="H47" s="8">
        <v>0.9</v>
      </c>
      <c r="I47" s="12">
        <v>0</v>
      </c>
    </row>
    <row r="48" spans="2:9" ht="15" customHeight="1" x14ac:dyDescent="0.2">
      <c r="B48" t="s">
        <v>170</v>
      </c>
      <c r="C48" s="12">
        <v>356</v>
      </c>
      <c r="D48" s="8">
        <v>3.58</v>
      </c>
      <c r="E48" s="12">
        <v>306</v>
      </c>
      <c r="F48" s="8">
        <v>5.73</v>
      </c>
      <c r="G48" s="12">
        <v>49</v>
      </c>
      <c r="H48" s="8">
        <v>1.07</v>
      </c>
      <c r="I48" s="12">
        <v>1</v>
      </c>
    </row>
    <row r="49" spans="2:9" ht="15" customHeight="1" x14ac:dyDescent="0.2">
      <c r="B49" t="s">
        <v>161</v>
      </c>
      <c r="C49" s="12">
        <v>327</v>
      </c>
      <c r="D49" s="8">
        <v>3.29</v>
      </c>
      <c r="E49" s="12">
        <v>115</v>
      </c>
      <c r="F49" s="8">
        <v>2.15</v>
      </c>
      <c r="G49" s="12">
        <v>212</v>
      </c>
      <c r="H49" s="8">
        <v>4.6399999999999997</v>
      </c>
      <c r="I49" s="12">
        <v>0</v>
      </c>
    </row>
    <row r="50" spans="2:9" ht="15" customHeight="1" x14ac:dyDescent="0.2">
      <c r="B50" t="s">
        <v>165</v>
      </c>
      <c r="C50" s="12">
        <v>295</v>
      </c>
      <c r="D50" s="8">
        <v>2.97</v>
      </c>
      <c r="E50" s="12">
        <v>275</v>
      </c>
      <c r="F50" s="8">
        <v>5.15</v>
      </c>
      <c r="G50" s="12">
        <v>20</v>
      </c>
      <c r="H50" s="8">
        <v>0.44</v>
      </c>
      <c r="I50" s="12">
        <v>0</v>
      </c>
    </row>
    <row r="51" spans="2:9" ht="15" customHeight="1" x14ac:dyDescent="0.2">
      <c r="B51" t="s">
        <v>206</v>
      </c>
      <c r="C51" s="12">
        <v>294</v>
      </c>
      <c r="D51" s="8">
        <v>2.96</v>
      </c>
      <c r="E51" s="12">
        <v>203</v>
      </c>
      <c r="F51" s="8">
        <v>3.8</v>
      </c>
      <c r="G51" s="12">
        <v>91</v>
      </c>
      <c r="H51" s="8">
        <v>1.99</v>
      </c>
      <c r="I51" s="12">
        <v>0</v>
      </c>
    </row>
    <row r="52" spans="2:9" ht="15" customHeight="1" x14ac:dyDescent="0.2">
      <c r="B52" t="s">
        <v>171</v>
      </c>
      <c r="C52" s="12">
        <v>273</v>
      </c>
      <c r="D52" s="8">
        <v>2.75</v>
      </c>
      <c r="E52" s="12">
        <v>253</v>
      </c>
      <c r="F52" s="8">
        <v>4.7300000000000004</v>
      </c>
      <c r="G52" s="12">
        <v>20</v>
      </c>
      <c r="H52" s="8">
        <v>0.44</v>
      </c>
      <c r="I52" s="12">
        <v>0</v>
      </c>
    </row>
    <row r="53" spans="2:9" ht="15" customHeight="1" x14ac:dyDescent="0.2">
      <c r="B53" t="s">
        <v>156</v>
      </c>
      <c r="C53" s="12">
        <v>215</v>
      </c>
      <c r="D53" s="8">
        <v>2.16</v>
      </c>
      <c r="E53" s="12">
        <v>112</v>
      </c>
      <c r="F53" s="8">
        <v>2.1</v>
      </c>
      <c r="G53" s="12">
        <v>103</v>
      </c>
      <c r="H53" s="8">
        <v>2.2599999999999998</v>
      </c>
      <c r="I53" s="12">
        <v>0</v>
      </c>
    </row>
    <row r="54" spans="2:9" ht="15" customHeight="1" x14ac:dyDescent="0.2">
      <c r="B54" t="s">
        <v>163</v>
      </c>
      <c r="C54" s="12">
        <v>214</v>
      </c>
      <c r="D54" s="8">
        <v>2.15</v>
      </c>
      <c r="E54" s="12">
        <v>178</v>
      </c>
      <c r="F54" s="8">
        <v>3.33</v>
      </c>
      <c r="G54" s="12">
        <v>36</v>
      </c>
      <c r="H54" s="8">
        <v>0.79</v>
      </c>
      <c r="I54" s="12">
        <v>0</v>
      </c>
    </row>
    <row r="55" spans="2:9" ht="15" customHeight="1" x14ac:dyDescent="0.2">
      <c r="B55" t="s">
        <v>167</v>
      </c>
      <c r="C55" s="12">
        <v>214</v>
      </c>
      <c r="D55" s="8">
        <v>2.15</v>
      </c>
      <c r="E55" s="12">
        <v>204</v>
      </c>
      <c r="F55" s="8">
        <v>3.82</v>
      </c>
      <c r="G55" s="12">
        <v>10</v>
      </c>
      <c r="H55" s="8">
        <v>0.22</v>
      </c>
      <c r="I55" s="12">
        <v>0</v>
      </c>
    </row>
    <row r="56" spans="2:9" ht="15" customHeight="1" x14ac:dyDescent="0.2">
      <c r="B56" t="s">
        <v>164</v>
      </c>
      <c r="C56" s="12">
        <v>171</v>
      </c>
      <c r="D56" s="8">
        <v>1.72</v>
      </c>
      <c r="E56" s="12">
        <v>164</v>
      </c>
      <c r="F56" s="8">
        <v>3.07</v>
      </c>
      <c r="G56" s="12">
        <v>7</v>
      </c>
      <c r="H56" s="8">
        <v>0.15</v>
      </c>
      <c r="I56" s="12">
        <v>0</v>
      </c>
    </row>
    <row r="57" spans="2:9" ht="15" customHeight="1" x14ac:dyDescent="0.2">
      <c r="B57" t="s">
        <v>153</v>
      </c>
      <c r="C57" s="12">
        <v>163</v>
      </c>
      <c r="D57" s="8">
        <v>1.64</v>
      </c>
      <c r="E57" s="12">
        <v>20</v>
      </c>
      <c r="F57" s="8">
        <v>0.37</v>
      </c>
      <c r="G57" s="12">
        <v>143</v>
      </c>
      <c r="H57" s="8">
        <v>3.13</v>
      </c>
      <c r="I57" s="12">
        <v>0</v>
      </c>
    </row>
    <row r="58" spans="2:9" ht="15" customHeight="1" x14ac:dyDescent="0.2">
      <c r="B58" t="s">
        <v>193</v>
      </c>
      <c r="C58" s="12">
        <v>159</v>
      </c>
      <c r="D58" s="8">
        <v>1.6</v>
      </c>
      <c r="E58" s="12">
        <v>129</v>
      </c>
      <c r="F58" s="8">
        <v>2.41</v>
      </c>
      <c r="G58" s="12">
        <v>30</v>
      </c>
      <c r="H58" s="8">
        <v>0.66</v>
      </c>
      <c r="I58" s="12">
        <v>0</v>
      </c>
    </row>
    <row r="59" spans="2:9" ht="15" customHeight="1" x14ac:dyDescent="0.2">
      <c r="B59" t="s">
        <v>154</v>
      </c>
      <c r="C59" s="12">
        <v>158</v>
      </c>
      <c r="D59" s="8">
        <v>1.59</v>
      </c>
      <c r="E59" s="12">
        <v>57</v>
      </c>
      <c r="F59" s="8">
        <v>1.07</v>
      </c>
      <c r="G59" s="12">
        <v>101</v>
      </c>
      <c r="H59" s="8">
        <v>2.21</v>
      </c>
      <c r="I59" s="12">
        <v>0</v>
      </c>
    </row>
    <row r="60" spans="2:9" ht="15" customHeight="1" x14ac:dyDescent="0.2">
      <c r="B60" t="s">
        <v>158</v>
      </c>
      <c r="C60" s="12">
        <v>149</v>
      </c>
      <c r="D60" s="8">
        <v>1.5</v>
      </c>
      <c r="E60" s="12">
        <v>108</v>
      </c>
      <c r="F60" s="8">
        <v>2.02</v>
      </c>
      <c r="G60" s="12">
        <v>41</v>
      </c>
      <c r="H60" s="8">
        <v>0.9</v>
      </c>
      <c r="I60" s="12">
        <v>0</v>
      </c>
    </row>
    <row r="61" spans="2:9" ht="15" customHeight="1" x14ac:dyDescent="0.2">
      <c r="B61" t="s">
        <v>160</v>
      </c>
      <c r="C61" s="12">
        <v>147</v>
      </c>
      <c r="D61" s="8">
        <v>1.48</v>
      </c>
      <c r="E61" s="12">
        <v>25</v>
      </c>
      <c r="F61" s="8">
        <v>0.47</v>
      </c>
      <c r="G61" s="12">
        <v>122</v>
      </c>
      <c r="H61" s="8">
        <v>2.67</v>
      </c>
      <c r="I61" s="12">
        <v>0</v>
      </c>
    </row>
    <row r="62" spans="2:9" ht="15" customHeight="1" x14ac:dyDescent="0.2">
      <c r="B62" t="s">
        <v>155</v>
      </c>
      <c r="C62" s="12">
        <v>139</v>
      </c>
      <c r="D62" s="8">
        <v>1.4</v>
      </c>
      <c r="E62" s="12">
        <v>52</v>
      </c>
      <c r="F62" s="8">
        <v>0.97</v>
      </c>
      <c r="G62" s="12">
        <v>87</v>
      </c>
      <c r="H62" s="8">
        <v>1.91</v>
      </c>
      <c r="I62" s="12">
        <v>0</v>
      </c>
    </row>
    <row r="63" spans="2:9" ht="15" customHeight="1" x14ac:dyDescent="0.2">
      <c r="B63" t="s">
        <v>166</v>
      </c>
      <c r="C63" s="12">
        <v>134</v>
      </c>
      <c r="D63" s="8">
        <v>1.35</v>
      </c>
      <c r="E63" s="12">
        <v>66</v>
      </c>
      <c r="F63" s="8">
        <v>1.24</v>
      </c>
      <c r="G63" s="12">
        <v>68</v>
      </c>
      <c r="H63" s="8">
        <v>1.49</v>
      </c>
      <c r="I63" s="12">
        <v>0</v>
      </c>
    </row>
    <row r="64" spans="2:9" ht="15" customHeight="1" x14ac:dyDescent="0.2">
      <c r="B64" t="s">
        <v>205</v>
      </c>
      <c r="C64" s="12">
        <v>132</v>
      </c>
      <c r="D64" s="8">
        <v>1.33</v>
      </c>
      <c r="E64" s="12">
        <v>55</v>
      </c>
      <c r="F64" s="8">
        <v>1.03</v>
      </c>
      <c r="G64" s="12">
        <v>77</v>
      </c>
      <c r="H64" s="8">
        <v>1.69</v>
      </c>
      <c r="I64" s="12">
        <v>0</v>
      </c>
    </row>
    <row r="65" spans="2:9" ht="15" customHeight="1" x14ac:dyDescent="0.2">
      <c r="B65" t="s">
        <v>157</v>
      </c>
      <c r="C65" s="12">
        <v>131</v>
      </c>
      <c r="D65" s="8">
        <v>1.32</v>
      </c>
      <c r="E65" s="12">
        <v>65</v>
      </c>
      <c r="F65" s="8">
        <v>1.22</v>
      </c>
      <c r="G65" s="12">
        <v>66</v>
      </c>
      <c r="H65" s="8">
        <v>1.45</v>
      </c>
      <c r="I65" s="12">
        <v>0</v>
      </c>
    </row>
    <row r="66" spans="2:9" ht="15" customHeight="1" x14ac:dyDescent="0.2">
      <c r="B66" t="s">
        <v>188</v>
      </c>
      <c r="C66" s="12">
        <v>131</v>
      </c>
      <c r="D66" s="8">
        <v>1.32</v>
      </c>
      <c r="E66" s="12">
        <v>94</v>
      </c>
      <c r="F66" s="8">
        <v>1.76</v>
      </c>
      <c r="G66" s="12">
        <v>37</v>
      </c>
      <c r="H66" s="8">
        <v>0.81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AB097-1AAE-4AE5-8DAA-B7A8E11E745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8</v>
      </c>
      <c r="D5" s="8">
        <v>0.3</v>
      </c>
      <c r="E5" s="12">
        <v>0</v>
      </c>
      <c r="F5" s="8">
        <v>0</v>
      </c>
      <c r="G5" s="12">
        <v>8</v>
      </c>
      <c r="H5" s="8">
        <v>0.55000000000000004</v>
      </c>
      <c r="I5" s="12">
        <v>0</v>
      </c>
    </row>
    <row r="6" spans="2:9" ht="15" customHeight="1" x14ac:dyDescent="0.2">
      <c r="B6" t="s">
        <v>72</v>
      </c>
      <c r="C6" s="12">
        <v>349</v>
      </c>
      <c r="D6" s="8">
        <v>12.88</v>
      </c>
      <c r="E6" s="12">
        <v>90</v>
      </c>
      <c r="F6" s="8">
        <v>7.28</v>
      </c>
      <c r="G6" s="12">
        <v>259</v>
      </c>
      <c r="H6" s="8">
        <v>17.829999999999998</v>
      </c>
      <c r="I6" s="12">
        <v>0</v>
      </c>
    </row>
    <row r="7" spans="2:9" ht="15" customHeight="1" x14ac:dyDescent="0.2">
      <c r="B7" t="s">
        <v>73</v>
      </c>
      <c r="C7" s="12">
        <v>649</v>
      </c>
      <c r="D7" s="8">
        <v>23.95</v>
      </c>
      <c r="E7" s="12">
        <v>262</v>
      </c>
      <c r="F7" s="8">
        <v>21.2</v>
      </c>
      <c r="G7" s="12">
        <v>387</v>
      </c>
      <c r="H7" s="8">
        <v>26.63</v>
      </c>
      <c r="I7" s="12">
        <v>0</v>
      </c>
    </row>
    <row r="8" spans="2:9" ht="15" customHeight="1" x14ac:dyDescent="0.2">
      <c r="B8" t="s">
        <v>74</v>
      </c>
      <c r="C8" s="12">
        <v>4</v>
      </c>
      <c r="D8" s="8">
        <v>0.15</v>
      </c>
      <c r="E8" s="12">
        <v>1</v>
      </c>
      <c r="F8" s="8">
        <v>0.08</v>
      </c>
      <c r="G8" s="12">
        <v>2</v>
      </c>
      <c r="H8" s="8">
        <v>0.14000000000000001</v>
      </c>
      <c r="I8" s="12">
        <v>0</v>
      </c>
    </row>
    <row r="9" spans="2:9" ht="15" customHeight="1" x14ac:dyDescent="0.2">
      <c r="B9" t="s">
        <v>75</v>
      </c>
      <c r="C9" s="12">
        <v>18</v>
      </c>
      <c r="D9" s="8">
        <v>0.66</v>
      </c>
      <c r="E9" s="12">
        <v>2</v>
      </c>
      <c r="F9" s="8">
        <v>0.16</v>
      </c>
      <c r="G9" s="12">
        <v>16</v>
      </c>
      <c r="H9" s="8">
        <v>1.1000000000000001</v>
      </c>
      <c r="I9" s="12">
        <v>0</v>
      </c>
    </row>
    <row r="10" spans="2:9" ht="15" customHeight="1" x14ac:dyDescent="0.2">
      <c r="B10" t="s">
        <v>76</v>
      </c>
      <c r="C10" s="12">
        <v>33</v>
      </c>
      <c r="D10" s="8">
        <v>1.22</v>
      </c>
      <c r="E10" s="12">
        <v>3</v>
      </c>
      <c r="F10" s="8">
        <v>0.24</v>
      </c>
      <c r="G10" s="12">
        <v>30</v>
      </c>
      <c r="H10" s="8">
        <v>2.06</v>
      </c>
      <c r="I10" s="12">
        <v>0</v>
      </c>
    </row>
    <row r="11" spans="2:9" ht="15" customHeight="1" x14ac:dyDescent="0.2">
      <c r="B11" t="s">
        <v>77</v>
      </c>
      <c r="C11" s="12">
        <v>588</v>
      </c>
      <c r="D11" s="8">
        <v>21.7</v>
      </c>
      <c r="E11" s="12">
        <v>255</v>
      </c>
      <c r="F11" s="8">
        <v>20.63</v>
      </c>
      <c r="G11" s="12">
        <v>332</v>
      </c>
      <c r="H11" s="8">
        <v>22.85</v>
      </c>
      <c r="I11" s="12">
        <v>1</v>
      </c>
    </row>
    <row r="12" spans="2:9" ht="15" customHeight="1" x14ac:dyDescent="0.2">
      <c r="B12" t="s">
        <v>78</v>
      </c>
      <c r="C12" s="12">
        <v>13</v>
      </c>
      <c r="D12" s="8">
        <v>0.48</v>
      </c>
      <c r="E12" s="12">
        <v>2</v>
      </c>
      <c r="F12" s="8">
        <v>0.16</v>
      </c>
      <c r="G12" s="12">
        <v>11</v>
      </c>
      <c r="H12" s="8">
        <v>0.76</v>
      </c>
      <c r="I12" s="12">
        <v>0</v>
      </c>
    </row>
    <row r="13" spans="2:9" ht="15" customHeight="1" x14ac:dyDescent="0.2">
      <c r="B13" t="s">
        <v>79</v>
      </c>
      <c r="C13" s="12">
        <v>172</v>
      </c>
      <c r="D13" s="8">
        <v>6.35</v>
      </c>
      <c r="E13" s="12">
        <v>52</v>
      </c>
      <c r="F13" s="8">
        <v>4.21</v>
      </c>
      <c r="G13" s="12">
        <v>119</v>
      </c>
      <c r="H13" s="8">
        <v>8.19</v>
      </c>
      <c r="I13" s="12">
        <v>1</v>
      </c>
    </row>
    <row r="14" spans="2:9" ht="15" customHeight="1" x14ac:dyDescent="0.2">
      <c r="B14" t="s">
        <v>80</v>
      </c>
      <c r="C14" s="12">
        <v>112</v>
      </c>
      <c r="D14" s="8">
        <v>4.13</v>
      </c>
      <c r="E14" s="12">
        <v>54</v>
      </c>
      <c r="F14" s="8">
        <v>4.37</v>
      </c>
      <c r="G14" s="12">
        <v>58</v>
      </c>
      <c r="H14" s="8">
        <v>3.99</v>
      </c>
      <c r="I14" s="12">
        <v>0</v>
      </c>
    </row>
    <row r="15" spans="2:9" ht="15" customHeight="1" x14ac:dyDescent="0.2">
      <c r="B15" t="s">
        <v>81</v>
      </c>
      <c r="C15" s="12">
        <v>226</v>
      </c>
      <c r="D15" s="8">
        <v>8.34</v>
      </c>
      <c r="E15" s="12">
        <v>178</v>
      </c>
      <c r="F15" s="8">
        <v>14.4</v>
      </c>
      <c r="G15" s="12">
        <v>47</v>
      </c>
      <c r="H15" s="8">
        <v>3.23</v>
      </c>
      <c r="I15" s="12">
        <v>0</v>
      </c>
    </row>
    <row r="16" spans="2:9" ht="15" customHeight="1" x14ac:dyDescent="0.2">
      <c r="B16" t="s">
        <v>82</v>
      </c>
      <c r="C16" s="12">
        <v>245</v>
      </c>
      <c r="D16" s="8">
        <v>9.0399999999999991</v>
      </c>
      <c r="E16" s="12">
        <v>184</v>
      </c>
      <c r="F16" s="8">
        <v>14.89</v>
      </c>
      <c r="G16" s="12">
        <v>60</v>
      </c>
      <c r="H16" s="8">
        <v>4.13</v>
      </c>
      <c r="I16" s="12">
        <v>0</v>
      </c>
    </row>
    <row r="17" spans="2:9" ht="15" customHeight="1" x14ac:dyDescent="0.2">
      <c r="B17" t="s">
        <v>83</v>
      </c>
      <c r="C17" s="12">
        <v>96</v>
      </c>
      <c r="D17" s="8">
        <v>3.54</v>
      </c>
      <c r="E17" s="12">
        <v>57</v>
      </c>
      <c r="F17" s="8">
        <v>4.6100000000000003</v>
      </c>
      <c r="G17" s="12">
        <v>24</v>
      </c>
      <c r="H17" s="8">
        <v>1.65</v>
      </c>
      <c r="I17" s="12">
        <v>1</v>
      </c>
    </row>
    <row r="18" spans="2:9" ht="15" customHeight="1" x14ac:dyDescent="0.2">
      <c r="B18" t="s">
        <v>84</v>
      </c>
      <c r="C18" s="12">
        <v>97</v>
      </c>
      <c r="D18" s="8">
        <v>3.58</v>
      </c>
      <c r="E18" s="12">
        <v>65</v>
      </c>
      <c r="F18" s="8">
        <v>5.26</v>
      </c>
      <c r="G18" s="12">
        <v>32</v>
      </c>
      <c r="H18" s="8">
        <v>2.2000000000000002</v>
      </c>
      <c r="I18" s="12">
        <v>0</v>
      </c>
    </row>
    <row r="19" spans="2:9" ht="15" customHeight="1" x14ac:dyDescent="0.2">
      <c r="B19" t="s">
        <v>85</v>
      </c>
      <c r="C19" s="12">
        <v>100</v>
      </c>
      <c r="D19" s="8">
        <v>3.69</v>
      </c>
      <c r="E19" s="12">
        <v>31</v>
      </c>
      <c r="F19" s="8">
        <v>2.5099999999999998</v>
      </c>
      <c r="G19" s="12">
        <v>68</v>
      </c>
      <c r="H19" s="8">
        <v>4.68</v>
      </c>
      <c r="I19" s="12">
        <v>1</v>
      </c>
    </row>
    <row r="20" spans="2:9" ht="15" customHeight="1" x14ac:dyDescent="0.2">
      <c r="B20" s="9" t="s">
        <v>277</v>
      </c>
      <c r="C20" s="12">
        <f>SUM(LTBL_23204[総数／事業所数])</f>
        <v>2710</v>
      </c>
      <c r="E20" s="12">
        <f>SUBTOTAL(109,LTBL_23204[個人／事業所数])</f>
        <v>1236</v>
      </c>
      <c r="G20" s="12">
        <f>SUBTOTAL(109,LTBL_23204[法人／事業所数])</f>
        <v>1453</v>
      </c>
      <c r="I20" s="12">
        <f>SUBTOTAL(109,LTBL_23204[法人以外の団体／事業所数])</f>
        <v>4</v>
      </c>
    </row>
    <row r="21" spans="2:9" ht="15" customHeight="1" x14ac:dyDescent="0.2">
      <c r="E21" s="11">
        <f>LTBL_23204[[#Totals],[個人／事業所数]]/LTBL_23204[[#Totals],[総数／事業所数]]</f>
        <v>0.45608856088560884</v>
      </c>
      <c r="G21" s="11">
        <f>LTBL_23204[[#Totals],[法人／事業所数]]/LTBL_23204[[#Totals],[総数／事業所数]]</f>
        <v>0.53616236162361619</v>
      </c>
      <c r="I21" s="11">
        <f>LTBL_23204[[#Totals],[法人以外の団体／事業所数]]/LTBL_23204[[#Totals],[総数／事業所数]]</f>
        <v>1.4760147601476014E-3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126</v>
      </c>
      <c r="C24" s="12">
        <v>342</v>
      </c>
      <c r="D24" s="8">
        <v>12.62</v>
      </c>
      <c r="E24" s="12">
        <v>158</v>
      </c>
      <c r="F24" s="8">
        <v>12.78</v>
      </c>
      <c r="G24" s="12">
        <v>184</v>
      </c>
      <c r="H24" s="8">
        <v>12.66</v>
      </c>
      <c r="I24" s="12">
        <v>0</v>
      </c>
    </row>
    <row r="25" spans="2:9" ht="15" customHeight="1" x14ac:dyDescent="0.2">
      <c r="B25" t="s">
        <v>111</v>
      </c>
      <c r="C25" s="12">
        <v>201</v>
      </c>
      <c r="D25" s="8">
        <v>7.42</v>
      </c>
      <c r="E25" s="12">
        <v>166</v>
      </c>
      <c r="F25" s="8">
        <v>13.43</v>
      </c>
      <c r="G25" s="12">
        <v>35</v>
      </c>
      <c r="H25" s="8">
        <v>2.41</v>
      </c>
      <c r="I25" s="12">
        <v>0</v>
      </c>
    </row>
    <row r="26" spans="2:9" ht="15" customHeight="1" x14ac:dyDescent="0.2">
      <c r="B26" t="s">
        <v>110</v>
      </c>
      <c r="C26" s="12">
        <v>195</v>
      </c>
      <c r="D26" s="8">
        <v>7.2</v>
      </c>
      <c r="E26" s="12">
        <v>172</v>
      </c>
      <c r="F26" s="8">
        <v>13.92</v>
      </c>
      <c r="G26" s="12">
        <v>23</v>
      </c>
      <c r="H26" s="8">
        <v>1.58</v>
      </c>
      <c r="I26" s="12">
        <v>0</v>
      </c>
    </row>
    <row r="27" spans="2:9" ht="15" customHeight="1" x14ac:dyDescent="0.2">
      <c r="B27" t="s">
        <v>105</v>
      </c>
      <c r="C27" s="12">
        <v>152</v>
      </c>
      <c r="D27" s="8">
        <v>5.61</v>
      </c>
      <c r="E27" s="12">
        <v>87</v>
      </c>
      <c r="F27" s="8">
        <v>7.04</v>
      </c>
      <c r="G27" s="12">
        <v>65</v>
      </c>
      <c r="H27" s="8">
        <v>4.47</v>
      </c>
      <c r="I27" s="12">
        <v>0</v>
      </c>
    </row>
    <row r="28" spans="2:9" ht="15" customHeight="1" x14ac:dyDescent="0.2">
      <c r="B28" t="s">
        <v>94</v>
      </c>
      <c r="C28" s="12">
        <v>140</v>
      </c>
      <c r="D28" s="8">
        <v>5.17</v>
      </c>
      <c r="E28" s="12">
        <v>28</v>
      </c>
      <c r="F28" s="8">
        <v>2.27</v>
      </c>
      <c r="G28" s="12">
        <v>112</v>
      </c>
      <c r="H28" s="8">
        <v>7.71</v>
      </c>
      <c r="I28" s="12">
        <v>0</v>
      </c>
    </row>
    <row r="29" spans="2:9" ht="15" customHeight="1" x14ac:dyDescent="0.2">
      <c r="B29" t="s">
        <v>107</v>
      </c>
      <c r="C29" s="12">
        <v>129</v>
      </c>
      <c r="D29" s="8">
        <v>4.76</v>
      </c>
      <c r="E29" s="12">
        <v>40</v>
      </c>
      <c r="F29" s="8">
        <v>3.24</v>
      </c>
      <c r="G29" s="12">
        <v>89</v>
      </c>
      <c r="H29" s="8">
        <v>6.13</v>
      </c>
      <c r="I29" s="12">
        <v>0</v>
      </c>
    </row>
    <row r="30" spans="2:9" ht="15" customHeight="1" x14ac:dyDescent="0.2">
      <c r="B30" t="s">
        <v>95</v>
      </c>
      <c r="C30" s="12">
        <v>114</v>
      </c>
      <c r="D30" s="8">
        <v>4.21</v>
      </c>
      <c r="E30" s="12">
        <v>37</v>
      </c>
      <c r="F30" s="8">
        <v>2.99</v>
      </c>
      <c r="G30" s="12">
        <v>77</v>
      </c>
      <c r="H30" s="8">
        <v>5.3</v>
      </c>
      <c r="I30" s="12">
        <v>0</v>
      </c>
    </row>
    <row r="31" spans="2:9" ht="15" customHeight="1" x14ac:dyDescent="0.2">
      <c r="B31" t="s">
        <v>101</v>
      </c>
      <c r="C31" s="12">
        <v>101</v>
      </c>
      <c r="D31" s="8">
        <v>3.73</v>
      </c>
      <c r="E31" s="12">
        <v>28</v>
      </c>
      <c r="F31" s="8">
        <v>2.27</v>
      </c>
      <c r="G31" s="12">
        <v>73</v>
      </c>
      <c r="H31" s="8">
        <v>5.0199999999999996</v>
      </c>
      <c r="I31" s="12">
        <v>0</v>
      </c>
    </row>
    <row r="32" spans="2:9" ht="15" customHeight="1" x14ac:dyDescent="0.2">
      <c r="B32" t="s">
        <v>112</v>
      </c>
      <c r="C32" s="12">
        <v>96</v>
      </c>
      <c r="D32" s="8">
        <v>3.54</v>
      </c>
      <c r="E32" s="12">
        <v>57</v>
      </c>
      <c r="F32" s="8">
        <v>4.6100000000000003</v>
      </c>
      <c r="G32" s="12">
        <v>24</v>
      </c>
      <c r="H32" s="8">
        <v>1.65</v>
      </c>
      <c r="I32" s="12">
        <v>1</v>
      </c>
    </row>
    <row r="33" spans="2:9" ht="15" customHeight="1" x14ac:dyDescent="0.2">
      <c r="B33" t="s">
        <v>96</v>
      </c>
      <c r="C33" s="12">
        <v>95</v>
      </c>
      <c r="D33" s="8">
        <v>3.51</v>
      </c>
      <c r="E33" s="12">
        <v>25</v>
      </c>
      <c r="F33" s="8">
        <v>2.02</v>
      </c>
      <c r="G33" s="12">
        <v>70</v>
      </c>
      <c r="H33" s="8">
        <v>4.82</v>
      </c>
      <c r="I33" s="12">
        <v>0</v>
      </c>
    </row>
    <row r="34" spans="2:9" ht="15" customHeight="1" x14ac:dyDescent="0.2">
      <c r="B34" t="s">
        <v>103</v>
      </c>
      <c r="C34" s="12">
        <v>91</v>
      </c>
      <c r="D34" s="8">
        <v>3.36</v>
      </c>
      <c r="E34" s="12">
        <v>65</v>
      </c>
      <c r="F34" s="8">
        <v>5.26</v>
      </c>
      <c r="G34" s="12">
        <v>26</v>
      </c>
      <c r="H34" s="8">
        <v>1.79</v>
      </c>
      <c r="I34" s="12">
        <v>0</v>
      </c>
    </row>
    <row r="35" spans="2:9" ht="15" customHeight="1" x14ac:dyDescent="0.2">
      <c r="B35" t="s">
        <v>104</v>
      </c>
      <c r="C35" s="12">
        <v>84</v>
      </c>
      <c r="D35" s="8">
        <v>3.1</v>
      </c>
      <c r="E35" s="12">
        <v>33</v>
      </c>
      <c r="F35" s="8">
        <v>2.67</v>
      </c>
      <c r="G35" s="12">
        <v>51</v>
      </c>
      <c r="H35" s="8">
        <v>3.51</v>
      </c>
      <c r="I35" s="12">
        <v>0</v>
      </c>
    </row>
    <row r="36" spans="2:9" ht="15" customHeight="1" x14ac:dyDescent="0.2">
      <c r="B36" t="s">
        <v>113</v>
      </c>
      <c r="C36" s="12">
        <v>71</v>
      </c>
      <c r="D36" s="8">
        <v>2.62</v>
      </c>
      <c r="E36" s="12">
        <v>65</v>
      </c>
      <c r="F36" s="8">
        <v>5.26</v>
      </c>
      <c r="G36" s="12">
        <v>6</v>
      </c>
      <c r="H36" s="8">
        <v>0.41</v>
      </c>
      <c r="I36" s="12">
        <v>0</v>
      </c>
    </row>
    <row r="37" spans="2:9" ht="15" customHeight="1" x14ac:dyDescent="0.2">
      <c r="B37" t="s">
        <v>109</v>
      </c>
      <c r="C37" s="12">
        <v>60</v>
      </c>
      <c r="D37" s="8">
        <v>2.21</v>
      </c>
      <c r="E37" s="12">
        <v>23</v>
      </c>
      <c r="F37" s="8">
        <v>1.86</v>
      </c>
      <c r="G37" s="12">
        <v>37</v>
      </c>
      <c r="H37" s="8">
        <v>2.5499999999999998</v>
      </c>
      <c r="I37" s="12">
        <v>0</v>
      </c>
    </row>
    <row r="38" spans="2:9" ht="15" customHeight="1" x14ac:dyDescent="0.2">
      <c r="B38" t="s">
        <v>97</v>
      </c>
      <c r="C38" s="12">
        <v>51</v>
      </c>
      <c r="D38" s="8">
        <v>1.88</v>
      </c>
      <c r="E38" s="12">
        <v>20</v>
      </c>
      <c r="F38" s="8">
        <v>1.62</v>
      </c>
      <c r="G38" s="12">
        <v>31</v>
      </c>
      <c r="H38" s="8">
        <v>2.13</v>
      </c>
      <c r="I38" s="12">
        <v>0</v>
      </c>
    </row>
    <row r="39" spans="2:9" ht="15" customHeight="1" x14ac:dyDescent="0.2">
      <c r="B39" t="s">
        <v>99</v>
      </c>
      <c r="C39" s="12">
        <v>49</v>
      </c>
      <c r="D39" s="8">
        <v>1.81</v>
      </c>
      <c r="E39" s="12">
        <v>10</v>
      </c>
      <c r="F39" s="8">
        <v>0.81</v>
      </c>
      <c r="G39" s="12">
        <v>39</v>
      </c>
      <c r="H39" s="8">
        <v>2.68</v>
      </c>
      <c r="I39" s="12">
        <v>0</v>
      </c>
    </row>
    <row r="40" spans="2:9" ht="15" customHeight="1" x14ac:dyDescent="0.2">
      <c r="B40" t="s">
        <v>108</v>
      </c>
      <c r="C40" s="12">
        <v>48</v>
      </c>
      <c r="D40" s="8">
        <v>1.77</v>
      </c>
      <c r="E40" s="12">
        <v>31</v>
      </c>
      <c r="F40" s="8">
        <v>2.5099999999999998</v>
      </c>
      <c r="G40" s="12">
        <v>17</v>
      </c>
      <c r="H40" s="8">
        <v>1.17</v>
      </c>
      <c r="I40" s="12">
        <v>0</v>
      </c>
    </row>
    <row r="41" spans="2:9" ht="15" customHeight="1" x14ac:dyDescent="0.2">
      <c r="B41" t="s">
        <v>102</v>
      </c>
      <c r="C41" s="12">
        <v>42</v>
      </c>
      <c r="D41" s="8">
        <v>1.55</v>
      </c>
      <c r="E41" s="12">
        <v>21</v>
      </c>
      <c r="F41" s="8">
        <v>1.7</v>
      </c>
      <c r="G41" s="12">
        <v>20</v>
      </c>
      <c r="H41" s="8">
        <v>1.38</v>
      </c>
      <c r="I41" s="12">
        <v>1</v>
      </c>
    </row>
    <row r="42" spans="2:9" ht="15" customHeight="1" x14ac:dyDescent="0.2">
      <c r="B42" t="s">
        <v>114</v>
      </c>
      <c r="C42" s="12">
        <v>39</v>
      </c>
      <c r="D42" s="8">
        <v>1.44</v>
      </c>
      <c r="E42" s="12">
        <v>2</v>
      </c>
      <c r="F42" s="8">
        <v>0.16</v>
      </c>
      <c r="G42" s="12">
        <v>36</v>
      </c>
      <c r="H42" s="8">
        <v>2.48</v>
      </c>
      <c r="I42" s="12">
        <v>1</v>
      </c>
    </row>
    <row r="43" spans="2:9" ht="15" customHeight="1" x14ac:dyDescent="0.2">
      <c r="B43" t="s">
        <v>98</v>
      </c>
      <c r="C43" s="12">
        <v>38</v>
      </c>
      <c r="D43" s="8">
        <v>1.4</v>
      </c>
      <c r="E43" s="12">
        <v>11</v>
      </c>
      <c r="F43" s="8">
        <v>0.89</v>
      </c>
      <c r="G43" s="12">
        <v>27</v>
      </c>
      <c r="H43" s="8">
        <v>1.86</v>
      </c>
      <c r="I43" s="12">
        <v>0</v>
      </c>
    </row>
    <row r="44" spans="2:9" ht="15" customHeight="1" x14ac:dyDescent="0.2">
      <c r="B44" t="s">
        <v>127</v>
      </c>
      <c r="C44" s="12">
        <v>38</v>
      </c>
      <c r="D44" s="8">
        <v>1.4</v>
      </c>
      <c r="E44" s="12">
        <v>13</v>
      </c>
      <c r="F44" s="8">
        <v>1.05</v>
      </c>
      <c r="G44" s="12">
        <v>25</v>
      </c>
      <c r="H44" s="8">
        <v>1.72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207</v>
      </c>
      <c r="C48" s="12">
        <v>269</v>
      </c>
      <c r="D48" s="8">
        <v>9.93</v>
      </c>
      <c r="E48" s="12">
        <v>127</v>
      </c>
      <c r="F48" s="8">
        <v>10.28</v>
      </c>
      <c r="G48" s="12">
        <v>142</v>
      </c>
      <c r="H48" s="8">
        <v>9.77</v>
      </c>
      <c r="I48" s="12">
        <v>0</v>
      </c>
    </row>
    <row r="49" spans="2:9" ht="15" customHeight="1" x14ac:dyDescent="0.2">
      <c r="B49" t="s">
        <v>168</v>
      </c>
      <c r="C49" s="12">
        <v>87</v>
      </c>
      <c r="D49" s="8">
        <v>3.21</v>
      </c>
      <c r="E49" s="12">
        <v>74</v>
      </c>
      <c r="F49" s="8">
        <v>5.99</v>
      </c>
      <c r="G49" s="12">
        <v>13</v>
      </c>
      <c r="H49" s="8">
        <v>0.89</v>
      </c>
      <c r="I49" s="12">
        <v>0</v>
      </c>
    </row>
    <row r="50" spans="2:9" ht="15" customHeight="1" x14ac:dyDescent="0.2">
      <c r="B50" t="s">
        <v>161</v>
      </c>
      <c r="C50" s="12">
        <v>77</v>
      </c>
      <c r="D50" s="8">
        <v>2.84</v>
      </c>
      <c r="E50" s="12">
        <v>29</v>
      </c>
      <c r="F50" s="8">
        <v>2.35</v>
      </c>
      <c r="G50" s="12">
        <v>48</v>
      </c>
      <c r="H50" s="8">
        <v>3.3</v>
      </c>
      <c r="I50" s="12">
        <v>0</v>
      </c>
    </row>
    <row r="51" spans="2:9" ht="15" customHeight="1" x14ac:dyDescent="0.2">
      <c r="B51" t="s">
        <v>167</v>
      </c>
      <c r="C51" s="12">
        <v>70</v>
      </c>
      <c r="D51" s="8">
        <v>2.58</v>
      </c>
      <c r="E51" s="12">
        <v>67</v>
      </c>
      <c r="F51" s="8">
        <v>5.42</v>
      </c>
      <c r="G51" s="12">
        <v>3</v>
      </c>
      <c r="H51" s="8">
        <v>0.21</v>
      </c>
      <c r="I51" s="12">
        <v>0</v>
      </c>
    </row>
    <row r="52" spans="2:9" ht="15" customHeight="1" x14ac:dyDescent="0.2">
      <c r="B52" t="s">
        <v>165</v>
      </c>
      <c r="C52" s="12">
        <v>69</v>
      </c>
      <c r="D52" s="8">
        <v>2.5499999999999998</v>
      </c>
      <c r="E52" s="12">
        <v>63</v>
      </c>
      <c r="F52" s="8">
        <v>5.0999999999999996</v>
      </c>
      <c r="G52" s="12">
        <v>6</v>
      </c>
      <c r="H52" s="8">
        <v>0.41</v>
      </c>
      <c r="I52" s="12">
        <v>0</v>
      </c>
    </row>
    <row r="53" spans="2:9" ht="15" customHeight="1" x14ac:dyDescent="0.2">
      <c r="B53" t="s">
        <v>209</v>
      </c>
      <c r="C53" s="12">
        <v>68</v>
      </c>
      <c r="D53" s="8">
        <v>2.5099999999999998</v>
      </c>
      <c r="E53" s="12">
        <v>20</v>
      </c>
      <c r="F53" s="8">
        <v>1.62</v>
      </c>
      <c r="G53" s="12">
        <v>48</v>
      </c>
      <c r="H53" s="8">
        <v>3.3</v>
      </c>
      <c r="I53" s="12">
        <v>0</v>
      </c>
    </row>
    <row r="54" spans="2:9" ht="15" customHeight="1" x14ac:dyDescent="0.2">
      <c r="B54" t="s">
        <v>152</v>
      </c>
      <c r="C54" s="12">
        <v>59</v>
      </c>
      <c r="D54" s="8">
        <v>2.1800000000000002</v>
      </c>
      <c r="E54" s="12">
        <v>6</v>
      </c>
      <c r="F54" s="8">
        <v>0.49</v>
      </c>
      <c r="G54" s="12">
        <v>53</v>
      </c>
      <c r="H54" s="8">
        <v>3.65</v>
      </c>
      <c r="I54" s="12">
        <v>0</v>
      </c>
    </row>
    <row r="55" spans="2:9" ht="15" customHeight="1" x14ac:dyDescent="0.2">
      <c r="B55" t="s">
        <v>156</v>
      </c>
      <c r="C55" s="12">
        <v>53</v>
      </c>
      <c r="D55" s="8">
        <v>1.96</v>
      </c>
      <c r="E55" s="12">
        <v>20</v>
      </c>
      <c r="F55" s="8">
        <v>1.62</v>
      </c>
      <c r="G55" s="12">
        <v>33</v>
      </c>
      <c r="H55" s="8">
        <v>2.27</v>
      </c>
      <c r="I55" s="12">
        <v>0</v>
      </c>
    </row>
    <row r="56" spans="2:9" ht="15" customHeight="1" x14ac:dyDescent="0.2">
      <c r="B56" t="s">
        <v>170</v>
      </c>
      <c r="C56" s="12">
        <v>53</v>
      </c>
      <c r="D56" s="8">
        <v>1.96</v>
      </c>
      <c r="E56" s="12">
        <v>44</v>
      </c>
      <c r="F56" s="8">
        <v>3.56</v>
      </c>
      <c r="G56" s="12">
        <v>9</v>
      </c>
      <c r="H56" s="8">
        <v>0.62</v>
      </c>
      <c r="I56" s="12">
        <v>0</v>
      </c>
    </row>
    <row r="57" spans="2:9" ht="15" customHeight="1" x14ac:dyDescent="0.2">
      <c r="B57" t="s">
        <v>154</v>
      </c>
      <c r="C57" s="12">
        <v>46</v>
      </c>
      <c r="D57" s="8">
        <v>1.7</v>
      </c>
      <c r="E57" s="12">
        <v>12</v>
      </c>
      <c r="F57" s="8">
        <v>0.97</v>
      </c>
      <c r="G57" s="12">
        <v>34</v>
      </c>
      <c r="H57" s="8">
        <v>2.34</v>
      </c>
      <c r="I57" s="12">
        <v>0</v>
      </c>
    </row>
    <row r="58" spans="2:9" ht="15" customHeight="1" x14ac:dyDescent="0.2">
      <c r="B58" t="s">
        <v>171</v>
      </c>
      <c r="C58" s="12">
        <v>46</v>
      </c>
      <c r="D58" s="8">
        <v>1.7</v>
      </c>
      <c r="E58" s="12">
        <v>42</v>
      </c>
      <c r="F58" s="8">
        <v>3.4</v>
      </c>
      <c r="G58" s="12">
        <v>4</v>
      </c>
      <c r="H58" s="8">
        <v>0.28000000000000003</v>
      </c>
      <c r="I58" s="12">
        <v>0</v>
      </c>
    </row>
    <row r="59" spans="2:9" ht="15" customHeight="1" x14ac:dyDescent="0.2">
      <c r="B59" t="s">
        <v>208</v>
      </c>
      <c r="C59" s="12">
        <v>44</v>
      </c>
      <c r="D59" s="8">
        <v>1.62</v>
      </c>
      <c r="E59" s="12">
        <v>27</v>
      </c>
      <c r="F59" s="8">
        <v>2.1800000000000002</v>
      </c>
      <c r="G59" s="12">
        <v>17</v>
      </c>
      <c r="H59" s="8">
        <v>1.17</v>
      </c>
      <c r="I59" s="12">
        <v>0</v>
      </c>
    </row>
    <row r="60" spans="2:9" ht="15" customHeight="1" x14ac:dyDescent="0.2">
      <c r="B60" t="s">
        <v>163</v>
      </c>
      <c r="C60" s="12">
        <v>41</v>
      </c>
      <c r="D60" s="8">
        <v>1.51</v>
      </c>
      <c r="E60" s="12">
        <v>33</v>
      </c>
      <c r="F60" s="8">
        <v>2.67</v>
      </c>
      <c r="G60" s="12">
        <v>8</v>
      </c>
      <c r="H60" s="8">
        <v>0.55000000000000004</v>
      </c>
      <c r="I60" s="12">
        <v>0</v>
      </c>
    </row>
    <row r="61" spans="2:9" ht="15" customHeight="1" x14ac:dyDescent="0.2">
      <c r="B61" t="s">
        <v>158</v>
      </c>
      <c r="C61" s="12">
        <v>40</v>
      </c>
      <c r="D61" s="8">
        <v>1.48</v>
      </c>
      <c r="E61" s="12">
        <v>24</v>
      </c>
      <c r="F61" s="8">
        <v>1.94</v>
      </c>
      <c r="G61" s="12">
        <v>16</v>
      </c>
      <c r="H61" s="8">
        <v>1.1000000000000001</v>
      </c>
      <c r="I61" s="12">
        <v>0</v>
      </c>
    </row>
    <row r="62" spans="2:9" ht="15" customHeight="1" x14ac:dyDescent="0.2">
      <c r="B62" t="s">
        <v>162</v>
      </c>
      <c r="C62" s="12">
        <v>40</v>
      </c>
      <c r="D62" s="8">
        <v>1.48</v>
      </c>
      <c r="E62" s="12">
        <v>18</v>
      </c>
      <c r="F62" s="8">
        <v>1.46</v>
      </c>
      <c r="G62" s="12">
        <v>22</v>
      </c>
      <c r="H62" s="8">
        <v>1.51</v>
      </c>
      <c r="I62" s="12">
        <v>0</v>
      </c>
    </row>
    <row r="63" spans="2:9" ht="15" customHeight="1" x14ac:dyDescent="0.2">
      <c r="B63" t="s">
        <v>155</v>
      </c>
      <c r="C63" s="12">
        <v>34</v>
      </c>
      <c r="D63" s="8">
        <v>1.25</v>
      </c>
      <c r="E63" s="12">
        <v>12</v>
      </c>
      <c r="F63" s="8">
        <v>0.97</v>
      </c>
      <c r="G63" s="12">
        <v>22</v>
      </c>
      <c r="H63" s="8">
        <v>1.51</v>
      </c>
      <c r="I63" s="12">
        <v>0</v>
      </c>
    </row>
    <row r="64" spans="2:9" ht="15" customHeight="1" x14ac:dyDescent="0.2">
      <c r="B64" t="s">
        <v>186</v>
      </c>
      <c r="C64" s="12">
        <v>34</v>
      </c>
      <c r="D64" s="8">
        <v>1.25</v>
      </c>
      <c r="E64" s="12">
        <v>23</v>
      </c>
      <c r="F64" s="8">
        <v>1.86</v>
      </c>
      <c r="G64" s="12">
        <v>11</v>
      </c>
      <c r="H64" s="8">
        <v>0.76</v>
      </c>
      <c r="I64" s="12">
        <v>0</v>
      </c>
    </row>
    <row r="65" spans="2:9" ht="15" customHeight="1" x14ac:dyDescent="0.2">
      <c r="B65" t="s">
        <v>157</v>
      </c>
      <c r="C65" s="12">
        <v>34</v>
      </c>
      <c r="D65" s="8">
        <v>1.25</v>
      </c>
      <c r="E65" s="12">
        <v>16</v>
      </c>
      <c r="F65" s="8">
        <v>1.29</v>
      </c>
      <c r="G65" s="12">
        <v>18</v>
      </c>
      <c r="H65" s="8">
        <v>1.24</v>
      </c>
      <c r="I65" s="12">
        <v>0</v>
      </c>
    </row>
    <row r="66" spans="2:9" ht="15" customHeight="1" x14ac:dyDescent="0.2">
      <c r="B66" t="s">
        <v>164</v>
      </c>
      <c r="C66" s="12">
        <v>32</v>
      </c>
      <c r="D66" s="8">
        <v>1.18</v>
      </c>
      <c r="E66" s="12">
        <v>31</v>
      </c>
      <c r="F66" s="8">
        <v>2.5099999999999998</v>
      </c>
      <c r="G66" s="12">
        <v>1</v>
      </c>
      <c r="H66" s="8">
        <v>7.0000000000000007E-2</v>
      </c>
      <c r="I66" s="12">
        <v>0</v>
      </c>
    </row>
    <row r="67" spans="2:9" ht="15" customHeight="1" x14ac:dyDescent="0.2">
      <c r="B67" t="s">
        <v>188</v>
      </c>
      <c r="C67" s="12">
        <v>32</v>
      </c>
      <c r="D67" s="8">
        <v>1.18</v>
      </c>
      <c r="E67" s="12">
        <v>23</v>
      </c>
      <c r="F67" s="8">
        <v>1.86</v>
      </c>
      <c r="G67" s="12">
        <v>9</v>
      </c>
      <c r="H67" s="8">
        <v>0.62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5A46-07DF-493E-8CD8-F5E4900EAA2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353</v>
      </c>
      <c r="D6" s="8">
        <v>13.38</v>
      </c>
      <c r="E6" s="12">
        <v>80</v>
      </c>
      <c r="F6" s="8">
        <v>5.86</v>
      </c>
      <c r="G6" s="12">
        <v>273</v>
      </c>
      <c r="H6" s="8">
        <v>21.67</v>
      </c>
      <c r="I6" s="12">
        <v>0</v>
      </c>
    </row>
    <row r="7" spans="2:9" ht="15" customHeight="1" x14ac:dyDescent="0.2">
      <c r="B7" t="s">
        <v>73</v>
      </c>
      <c r="C7" s="12">
        <v>261</v>
      </c>
      <c r="D7" s="8">
        <v>9.89</v>
      </c>
      <c r="E7" s="12">
        <v>83</v>
      </c>
      <c r="F7" s="8">
        <v>6.08</v>
      </c>
      <c r="G7" s="12">
        <v>178</v>
      </c>
      <c r="H7" s="8">
        <v>14.13</v>
      </c>
      <c r="I7" s="12">
        <v>0</v>
      </c>
    </row>
    <row r="8" spans="2:9" ht="15" customHeight="1" x14ac:dyDescent="0.2">
      <c r="B8" t="s">
        <v>74</v>
      </c>
      <c r="C8" s="12">
        <v>4</v>
      </c>
      <c r="D8" s="8">
        <v>0.15</v>
      </c>
      <c r="E8" s="12">
        <v>0</v>
      </c>
      <c r="F8" s="8">
        <v>0</v>
      </c>
      <c r="G8" s="12">
        <v>4</v>
      </c>
      <c r="H8" s="8">
        <v>0.32</v>
      </c>
      <c r="I8" s="12">
        <v>0</v>
      </c>
    </row>
    <row r="9" spans="2:9" ht="15" customHeight="1" x14ac:dyDescent="0.2">
      <c r="B9" t="s">
        <v>75</v>
      </c>
      <c r="C9" s="12">
        <v>15</v>
      </c>
      <c r="D9" s="8">
        <v>0.56999999999999995</v>
      </c>
      <c r="E9" s="12">
        <v>1</v>
      </c>
      <c r="F9" s="8">
        <v>7.0000000000000007E-2</v>
      </c>
      <c r="G9" s="12">
        <v>14</v>
      </c>
      <c r="H9" s="8">
        <v>1.1100000000000001</v>
      </c>
      <c r="I9" s="12">
        <v>0</v>
      </c>
    </row>
    <row r="10" spans="2:9" ht="15" customHeight="1" x14ac:dyDescent="0.2">
      <c r="B10" t="s">
        <v>76</v>
      </c>
      <c r="C10" s="12">
        <v>23</v>
      </c>
      <c r="D10" s="8">
        <v>0.87</v>
      </c>
      <c r="E10" s="12">
        <v>3</v>
      </c>
      <c r="F10" s="8">
        <v>0.22</v>
      </c>
      <c r="G10" s="12">
        <v>20</v>
      </c>
      <c r="H10" s="8">
        <v>1.59</v>
      </c>
      <c r="I10" s="12">
        <v>0</v>
      </c>
    </row>
    <row r="11" spans="2:9" ht="15" customHeight="1" x14ac:dyDescent="0.2">
      <c r="B11" t="s">
        <v>77</v>
      </c>
      <c r="C11" s="12">
        <v>560</v>
      </c>
      <c r="D11" s="8">
        <v>21.23</v>
      </c>
      <c r="E11" s="12">
        <v>291</v>
      </c>
      <c r="F11" s="8">
        <v>21.32</v>
      </c>
      <c r="G11" s="12">
        <v>269</v>
      </c>
      <c r="H11" s="8">
        <v>21.35</v>
      </c>
      <c r="I11" s="12">
        <v>0</v>
      </c>
    </row>
    <row r="12" spans="2:9" ht="15" customHeight="1" x14ac:dyDescent="0.2">
      <c r="B12" t="s">
        <v>78</v>
      </c>
      <c r="C12" s="12">
        <v>24</v>
      </c>
      <c r="D12" s="8">
        <v>0.91</v>
      </c>
      <c r="E12" s="12">
        <v>2</v>
      </c>
      <c r="F12" s="8">
        <v>0.15</v>
      </c>
      <c r="G12" s="12">
        <v>22</v>
      </c>
      <c r="H12" s="8">
        <v>1.75</v>
      </c>
      <c r="I12" s="12">
        <v>0</v>
      </c>
    </row>
    <row r="13" spans="2:9" ht="15" customHeight="1" x14ac:dyDescent="0.2">
      <c r="B13" t="s">
        <v>79</v>
      </c>
      <c r="C13" s="12">
        <v>210</v>
      </c>
      <c r="D13" s="8">
        <v>7.96</v>
      </c>
      <c r="E13" s="12">
        <v>61</v>
      </c>
      <c r="F13" s="8">
        <v>4.47</v>
      </c>
      <c r="G13" s="12">
        <v>149</v>
      </c>
      <c r="H13" s="8">
        <v>11.83</v>
      </c>
      <c r="I13" s="12">
        <v>0</v>
      </c>
    </row>
    <row r="14" spans="2:9" ht="15" customHeight="1" x14ac:dyDescent="0.2">
      <c r="B14" t="s">
        <v>80</v>
      </c>
      <c r="C14" s="12">
        <v>160</v>
      </c>
      <c r="D14" s="8">
        <v>6.07</v>
      </c>
      <c r="E14" s="12">
        <v>113</v>
      </c>
      <c r="F14" s="8">
        <v>8.2799999999999994</v>
      </c>
      <c r="G14" s="12">
        <v>46</v>
      </c>
      <c r="H14" s="8">
        <v>3.65</v>
      </c>
      <c r="I14" s="12">
        <v>0</v>
      </c>
    </row>
    <row r="15" spans="2:9" ht="15" customHeight="1" x14ac:dyDescent="0.2">
      <c r="B15" t="s">
        <v>81</v>
      </c>
      <c r="C15" s="12">
        <v>343</v>
      </c>
      <c r="D15" s="8">
        <v>13</v>
      </c>
      <c r="E15" s="12">
        <v>274</v>
      </c>
      <c r="F15" s="8">
        <v>20.07</v>
      </c>
      <c r="G15" s="12">
        <v>68</v>
      </c>
      <c r="H15" s="8">
        <v>5.4</v>
      </c>
      <c r="I15" s="12">
        <v>0</v>
      </c>
    </row>
    <row r="16" spans="2:9" ht="15" customHeight="1" x14ac:dyDescent="0.2">
      <c r="B16" t="s">
        <v>82</v>
      </c>
      <c r="C16" s="12">
        <v>320</v>
      </c>
      <c r="D16" s="8">
        <v>12.13</v>
      </c>
      <c r="E16" s="12">
        <v>244</v>
      </c>
      <c r="F16" s="8">
        <v>17.88</v>
      </c>
      <c r="G16" s="12">
        <v>73</v>
      </c>
      <c r="H16" s="8">
        <v>5.79</v>
      </c>
      <c r="I16" s="12">
        <v>0</v>
      </c>
    </row>
    <row r="17" spans="2:9" ht="15" customHeight="1" x14ac:dyDescent="0.2">
      <c r="B17" t="s">
        <v>83</v>
      </c>
      <c r="C17" s="12">
        <v>136</v>
      </c>
      <c r="D17" s="8">
        <v>5.16</v>
      </c>
      <c r="E17" s="12">
        <v>101</v>
      </c>
      <c r="F17" s="8">
        <v>7.4</v>
      </c>
      <c r="G17" s="12">
        <v>35</v>
      </c>
      <c r="H17" s="8">
        <v>2.78</v>
      </c>
      <c r="I17" s="12">
        <v>0</v>
      </c>
    </row>
    <row r="18" spans="2:9" ht="15" customHeight="1" x14ac:dyDescent="0.2">
      <c r="B18" t="s">
        <v>84</v>
      </c>
      <c r="C18" s="12">
        <v>141</v>
      </c>
      <c r="D18" s="8">
        <v>5.34</v>
      </c>
      <c r="E18" s="12">
        <v>88</v>
      </c>
      <c r="F18" s="8">
        <v>6.45</v>
      </c>
      <c r="G18" s="12">
        <v>46</v>
      </c>
      <c r="H18" s="8">
        <v>3.65</v>
      </c>
      <c r="I18" s="12">
        <v>1</v>
      </c>
    </row>
    <row r="19" spans="2:9" ht="15" customHeight="1" x14ac:dyDescent="0.2">
      <c r="B19" t="s">
        <v>85</v>
      </c>
      <c r="C19" s="12">
        <v>88</v>
      </c>
      <c r="D19" s="8">
        <v>3.34</v>
      </c>
      <c r="E19" s="12">
        <v>24</v>
      </c>
      <c r="F19" s="8">
        <v>1.76</v>
      </c>
      <c r="G19" s="12">
        <v>63</v>
      </c>
      <c r="H19" s="8">
        <v>5</v>
      </c>
      <c r="I19" s="12">
        <v>1</v>
      </c>
    </row>
    <row r="20" spans="2:9" ht="15" customHeight="1" x14ac:dyDescent="0.2">
      <c r="B20" s="9" t="s">
        <v>277</v>
      </c>
      <c r="C20" s="12">
        <f>SUM(LTBL_23205[総数／事業所数])</f>
        <v>2638</v>
      </c>
      <c r="E20" s="12">
        <f>SUBTOTAL(109,LTBL_23205[個人／事業所数])</f>
        <v>1365</v>
      </c>
      <c r="G20" s="12">
        <f>SUBTOTAL(109,LTBL_23205[法人／事業所数])</f>
        <v>1260</v>
      </c>
      <c r="I20" s="12">
        <f>SUBTOTAL(109,LTBL_23205[法人以外の団体／事業所数])</f>
        <v>2</v>
      </c>
    </row>
    <row r="21" spans="2:9" ht="15" customHeight="1" x14ac:dyDescent="0.2">
      <c r="E21" s="11">
        <f>LTBL_23205[[#Totals],[個人／事業所数]]/LTBL_23205[[#Totals],[総数／事業所数]]</f>
        <v>0.51743745261561791</v>
      </c>
      <c r="G21" s="11">
        <f>LTBL_23205[[#Totals],[法人／事業所数]]/LTBL_23205[[#Totals],[総数／事業所数]]</f>
        <v>0.47763457164518575</v>
      </c>
      <c r="I21" s="11">
        <f>LTBL_23205[[#Totals],[法人以外の団体／事業所数]]/LTBL_23205[[#Totals],[総数／事業所数]]</f>
        <v>7.5815011372251705E-4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314</v>
      </c>
      <c r="D24" s="8">
        <v>11.9</v>
      </c>
      <c r="E24" s="12">
        <v>266</v>
      </c>
      <c r="F24" s="8">
        <v>19.489999999999998</v>
      </c>
      <c r="G24" s="12">
        <v>48</v>
      </c>
      <c r="H24" s="8">
        <v>3.81</v>
      </c>
      <c r="I24" s="12">
        <v>0</v>
      </c>
    </row>
    <row r="25" spans="2:9" ht="15" customHeight="1" x14ac:dyDescent="0.2">
      <c r="B25" t="s">
        <v>111</v>
      </c>
      <c r="C25" s="12">
        <v>269</v>
      </c>
      <c r="D25" s="8">
        <v>10.199999999999999</v>
      </c>
      <c r="E25" s="12">
        <v>226</v>
      </c>
      <c r="F25" s="8">
        <v>16.559999999999999</v>
      </c>
      <c r="G25" s="12">
        <v>43</v>
      </c>
      <c r="H25" s="8">
        <v>3.41</v>
      </c>
      <c r="I25" s="12">
        <v>0</v>
      </c>
    </row>
    <row r="26" spans="2:9" ht="15" customHeight="1" x14ac:dyDescent="0.2">
      <c r="B26" t="s">
        <v>107</v>
      </c>
      <c r="C26" s="12">
        <v>158</v>
      </c>
      <c r="D26" s="8">
        <v>5.99</v>
      </c>
      <c r="E26" s="12">
        <v>46</v>
      </c>
      <c r="F26" s="8">
        <v>3.37</v>
      </c>
      <c r="G26" s="12">
        <v>112</v>
      </c>
      <c r="H26" s="8">
        <v>8.89</v>
      </c>
      <c r="I26" s="12">
        <v>0</v>
      </c>
    </row>
    <row r="27" spans="2:9" ht="15" customHeight="1" x14ac:dyDescent="0.2">
      <c r="B27" t="s">
        <v>105</v>
      </c>
      <c r="C27" s="12">
        <v>156</v>
      </c>
      <c r="D27" s="8">
        <v>5.91</v>
      </c>
      <c r="E27" s="12">
        <v>89</v>
      </c>
      <c r="F27" s="8">
        <v>6.52</v>
      </c>
      <c r="G27" s="12">
        <v>67</v>
      </c>
      <c r="H27" s="8">
        <v>5.32</v>
      </c>
      <c r="I27" s="12">
        <v>0</v>
      </c>
    </row>
    <row r="28" spans="2:9" ht="15" customHeight="1" x14ac:dyDescent="0.2">
      <c r="B28" t="s">
        <v>94</v>
      </c>
      <c r="C28" s="12">
        <v>152</v>
      </c>
      <c r="D28" s="8">
        <v>5.76</v>
      </c>
      <c r="E28" s="12">
        <v>29</v>
      </c>
      <c r="F28" s="8">
        <v>2.12</v>
      </c>
      <c r="G28" s="12">
        <v>123</v>
      </c>
      <c r="H28" s="8">
        <v>9.76</v>
      </c>
      <c r="I28" s="12">
        <v>0</v>
      </c>
    </row>
    <row r="29" spans="2:9" ht="15" customHeight="1" x14ac:dyDescent="0.2">
      <c r="B29" t="s">
        <v>112</v>
      </c>
      <c r="C29" s="12">
        <v>136</v>
      </c>
      <c r="D29" s="8">
        <v>5.16</v>
      </c>
      <c r="E29" s="12">
        <v>101</v>
      </c>
      <c r="F29" s="8">
        <v>7.4</v>
      </c>
      <c r="G29" s="12">
        <v>35</v>
      </c>
      <c r="H29" s="8">
        <v>2.78</v>
      </c>
      <c r="I29" s="12">
        <v>0</v>
      </c>
    </row>
    <row r="30" spans="2:9" ht="15" customHeight="1" x14ac:dyDescent="0.2">
      <c r="B30" t="s">
        <v>96</v>
      </c>
      <c r="C30" s="12">
        <v>116</v>
      </c>
      <c r="D30" s="8">
        <v>4.4000000000000004</v>
      </c>
      <c r="E30" s="12">
        <v>28</v>
      </c>
      <c r="F30" s="8">
        <v>2.0499999999999998</v>
      </c>
      <c r="G30" s="12">
        <v>88</v>
      </c>
      <c r="H30" s="8">
        <v>6.98</v>
      </c>
      <c r="I30" s="12">
        <v>0</v>
      </c>
    </row>
    <row r="31" spans="2:9" ht="15" customHeight="1" x14ac:dyDescent="0.2">
      <c r="B31" t="s">
        <v>108</v>
      </c>
      <c r="C31" s="12">
        <v>107</v>
      </c>
      <c r="D31" s="8">
        <v>4.0599999999999996</v>
      </c>
      <c r="E31" s="12">
        <v>82</v>
      </c>
      <c r="F31" s="8">
        <v>6.01</v>
      </c>
      <c r="G31" s="12">
        <v>25</v>
      </c>
      <c r="H31" s="8">
        <v>1.98</v>
      </c>
      <c r="I31" s="12">
        <v>0</v>
      </c>
    </row>
    <row r="32" spans="2:9" ht="15" customHeight="1" x14ac:dyDescent="0.2">
      <c r="B32" t="s">
        <v>113</v>
      </c>
      <c r="C32" s="12">
        <v>104</v>
      </c>
      <c r="D32" s="8">
        <v>3.94</v>
      </c>
      <c r="E32" s="12">
        <v>88</v>
      </c>
      <c r="F32" s="8">
        <v>6.45</v>
      </c>
      <c r="G32" s="12">
        <v>16</v>
      </c>
      <c r="H32" s="8">
        <v>1.27</v>
      </c>
      <c r="I32" s="12">
        <v>0</v>
      </c>
    </row>
    <row r="33" spans="2:9" ht="15" customHeight="1" x14ac:dyDescent="0.2">
      <c r="B33" t="s">
        <v>103</v>
      </c>
      <c r="C33" s="12">
        <v>91</v>
      </c>
      <c r="D33" s="8">
        <v>3.45</v>
      </c>
      <c r="E33" s="12">
        <v>64</v>
      </c>
      <c r="F33" s="8">
        <v>4.6900000000000004</v>
      </c>
      <c r="G33" s="12">
        <v>27</v>
      </c>
      <c r="H33" s="8">
        <v>2.14</v>
      </c>
      <c r="I33" s="12">
        <v>0</v>
      </c>
    </row>
    <row r="34" spans="2:9" ht="15" customHeight="1" x14ac:dyDescent="0.2">
      <c r="B34" t="s">
        <v>104</v>
      </c>
      <c r="C34" s="12">
        <v>91</v>
      </c>
      <c r="D34" s="8">
        <v>3.45</v>
      </c>
      <c r="E34" s="12">
        <v>54</v>
      </c>
      <c r="F34" s="8">
        <v>3.96</v>
      </c>
      <c r="G34" s="12">
        <v>37</v>
      </c>
      <c r="H34" s="8">
        <v>2.94</v>
      </c>
      <c r="I34" s="12">
        <v>0</v>
      </c>
    </row>
    <row r="35" spans="2:9" ht="15" customHeight="1" x14ac:dyDescent="0.2">
      <c r="B35" t="s">
        <v>95</v>
      </c>
      <c r="C35" s="12">
        <v>85</v>
      </c>
      <c r="D35" s="8">
        <v>3.22</v>
      </c>
      <c r="E35" s="12">
        <v>23</v>
      </c>
      <c r="F35" s="8">
        <v>1.68</v>
      </c>
      <c r="G35" s="12">
        <v>62</v>
      </c>
      <c r="H35" s="8">
        <v>4.92</v>
      </c>
      <c r="I35" s="12">
        <v>0</v>
      </c>
    </row>
    <row r="36" spans="2:9" ht="15" customHeight="1" x14ac:dyDescent="0.2">
      <c r="B36" t="s">
        <v>102</v>
      </c>
      <c r="C36" s="12">
        <v>62</v>
      </c>
      <c r="D36" s="8">
        <v>2.35</v>
      </c>
      <c r="E36" s="12">
        <v>36</v>
      </c>
      <c r="F36" s="8">
        <v>2.64</v>
      </c>
      <c r="G36" s="12">
        <v>26</v>
      </c>
      <c r="H36" s="8">
        <v>2.06</v>
      </c>
      <c r="I36" s="12">
        <v>0</v>
      </c>
    </row>
    <row r="37" spans="2:9" ht="15" customHeight="1" x14ac:dyDescent="0.2">
      <c r="B37" t="s">
        <v>97</v>
      </c>
      <c r="C37" s="12">
        <v>55</v>
      </c>
      <c r="D37" s="8">
        <v>2.08</v>
      </c>
      <c r="E37" s="12">
        <v>12</v>
      </c>
      <c r="F37" s="8">
        <v>0.88</v>
      </c>
      <c r="G37" s="12">
        <v>43</v>
      </c>
      <c r="H37" s="8">
        <v>3.41</v>
      </c>
      <c r="I37" s="12">
        <v>0</v>
      </c>
    </row>
    <row r="38" spans="2:9" ht="15" customHeight="1" x14ac:dyDescent="0.2">
      <c r="B38" t="s">
        <v>109</v>
      </c>
      <c r="C38" s="12">
        <v>50</v>
      </c>
      <c r="D38" s="8">
        <v>1.9</v>
      </c>
      <c r="E38" s="12">
        <v>31</v>
      </c>
      <c r="F38" s="8">
        <v>2.27</v>
      </c>
      <c r="G38" s="12">
        <v>18</v>
      </c>
      <c r="H38" s="8">
        <v>1.43</v>
      </c>
      <c r="I38" s="12">
        <v>0</v>
      </c>
    </row>
    <row r="39" spans="2:9" ht="15" customHeight="1" x14ac:dyDescent="0.2">
      <c r="B39" t="s">
        <v>99</v>
      </c>
      <c r="C39" s="12">
        <v>49</v>
      </c>
      <c r="D39" s="8">
        <v>1.86</v>
      </c>
      <c r="E39" s="12">
        <v>13</v>
      </c>
      <c r="F39" s="8">
        <v>0.95</v>
      </c>
      <c r="G39" s="12">
        <v>36</v>
      </c>
      <c r="H39" s="8">
        <v>2.86</v>
      </c>
      <c r="I39" s="12">
        <v>0</v>
      </c>
    </row>
    <row r="40" spans="2:9" ht="15" customHeight="1" x14ac:dyDescent="0.2">
      <c r="B40" t="s">
        <v>98</v>
      </c>
      <c r="C40" s="12">
        <v>40</v>
      </c>
      <c r="D40" s="8">
        <v>1.52</v>
      </c>
      <c r="E40" s="12">
        <v>10</v>
      </c>
      <c r="F40" s="8">
        <v>0.73</v>
      </c>
      <c r="G40" s="12">
        <v>30</v>
      </c>
      <c r="H40" s="8">
        <v>2.38</v>
      </c>
      <c r="I40" s="12">
        <v>0</v>
      </c>
    </row>
    <row r="41" spans="2:9" ht="15" customHeight="1" x14ac:dyDescent="0.2">
      <c r="B41" t="s">
        <v>106</v>
      </c>
      <c r="C41" s="12">
        <v>40</v>
      </c>
      <c r="D41" s="8">
        <v>1.52</v>
      </c>
      <c r="E41" s="12">
        <v>11</v>
      </c>
      <c r="F41" s="8">
        <v>0.81</v>
      </c>
      <c r="G41" s="12">
        <v>29</v>
      </c>
      <c r="H41" s="8">
        <v>2.2999999999999998</v>
      </c>
      <c r="I41" s="12">
        <v>0</v>
      </c>
    </row>
    <row r="42" spans="2:9" ht="15" customHeight="1" x14ac:dyDescent="0.2">
      <c r="B42" t="s">
        <v>116</v>
      </c>
      <c r="C42" s="12">
        <v>37</v>
      </c>
      <c r="D42" s="8">
        <v>1.4</v>
      </c>
      <c r="E42" s="12">
        <v>0</v>
      </c>
      <c r="F42" s="8">
        <v>0</v>
      </c>
      <c r="G42" s="12">
        <v>30</v>
      </c>
      <c r="H42" s="8">
        <v>2.38</v>
      </c>
      <c r="I42" s="12">
        <v>1</v>
      </c>
    </row>
    <row r="43" spans="2:9" ht="15" customHeight="1" x14ac:dyDescent="0.2">
      <c r="B43" t="s">
        <v>101</v>
      </c>
      <c r="C43" s="12">
        <v>35</v>
      </c>
      <c r="D43" s="8">
        <v>1.33</v>
      </c>
      <c r="E43" s="12">
        <v>14</v>
      </c>
      <c r="F43" s="8">
        <v>1.03</v>
      </c>
      <c r="G43" s="12">
        <v>21</v>
      </c>
      <c r="H43" s="8">
        <v>1.67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129</v>
      </c>
      <c r="D47" s="8">
        <v>4.8899999999999997</v>
      </c>
      <c r="E47" s="12">
        <v>113</v>
      </c>
      <c r="F47" s="8">
        <v>8.2799999999999994</v>
      </c>
      <c r="G47" s="12">
        <v>16</v>
      </c>
      <c r="H47" s="8">
        <v>1.27</v>
      </c>
      <c r="I47" s="12">
        <v>0</v>
      </c>
    </row>
    <row r="48" spans="2:9" ht="15" customHeight="1" x14ac:dyDescent="0.2">
      <c r="B48" t="s">
        <v>163</v>
      </c>
      <c r="C48" s="12">
        <v>100</v>
      </c>
      <c r="D48" s="8">
        <v>3.79</v>
      </c>
      <c r="E48" s="12">
        <v>79</v>
      </c>
      <c r="F48" s="8">
        <v>5.79</v>
      </c>
      <c r="G48" s="12">
        <v>21</v>
      </c>
      <c r="H48" s="8">
        <v>1.67</v>
      </c>
      <c r="I48" s="12">
        <v>0</v>
      </c>
    </row>
    <row r="49" spans="2:9" ht="15" customHeight="1" x14ac:dyDescent="0.2">
      <c r="B49" t="s">
        <v>170</v>
      </c>
      <c r="C49" s="12">
        <v>88</v>
      </c>
      <c r="D49" s="8">
        <v>3.34</v>
      </c>
      <c r="E49" s="12">
        <v>71</v>
      </c>
      <c r="F49" s="8">
        <v>5.2</v>
      </c>
      <c r="G49" s="12">
        <v>17</v>
      </c>
      <c r="H49" s="8">
        <v>1.35</v>
      </c>
      <c r="I49" s="12">
        <v>0</v>
      </c>
    </row>
    <row r="50" spans="2:9" ht="15" customHeight="1" x14ac:dyDescent="0.2">
      <c r="B50" t="s">
        <v>161</v>
      </c>
      <c r="C50" s="12">
        <v>87</v>
      </c>
      <c r="D50" s="8">
        <v>3.3</v>
      </c>
      <c r="E50" s="12">
        <v>32</v>
      </c>
      <c r="F50" s="8">
        <v>2.34</v>
      </c>
      <c r="G50" s="12">
        <v>55</v>
      </c>
      <c r="H50" s="8">
        <v>4.37</v>
      </c>
      <c r="I50" s="12">
        <v>0</v>
      </c>
    </row>
    <row r="51" spans="2:9" ht="15" customHeight="1" x14ac:dyDescent="0.2">
      <c r="B51" t="s">
        <v>171</v>
      </c>
      <c r="C51" s="12">
        <v>86</v>
      </c>
      <c r="D51" s="8">
        <v>3.26</v>
      </c>
      <c r="E51" s="12">
        <v>75</v>
      </c>
      <c r="F51" s="8">
        <v>5.49</v>
      </c>
      <c r="G51" s="12">
        <v>11</v>
      </c>
      <c r="H51" s="8">
        <v>0.87</v>
      </c>
      <c r="I51" s="12">
        <v>0</v>
      </c>
    </row>
    <row r="52" spans="2:9" ht="15" customHeight="1" x14ac:dyDescent="0.2">
      <c r="B52" t="s">
        <v>164</v>
      </c>
      <c r="C52" s="12">
        <v>74</v>
      </c>
      <c r="D52" s="8">
        <v>2.81</v>
      </c>
      <c r="E52" s="12">
        <v>70</v>
      </c>
      <c r="F52" s="8">
        <v>5.13</v>
      </c>
      <c r="G52" s="12">
        <v>4</v>
      </c>
      <c r="H52" s="8">
        <v>0.32</v>
      </c>
      <c r="I52" s="12">
        <v>0</v>
      </c>
    </row>
    <row r="53" spans="2:9" ht="15" customHeight="1" x14ac:dyDescent="0.2">
      <c r="B53" t="s">
        <v>167</v>
      </c>
      <c r="C53" s="12">
        <v>72</v>
      </c>
      <c r="D53" s="8">
        <v>2.73</v>
      </c>
      <c r="E53" s="12">
        <v>69</v>
      </c>
      <c r="F53" s="8">
        <v>5.05</v>
      </c>
      <c r="G53" s="12">
        <v>3</v>
      </c>
      <c r="H53" s="8">
        <v>0.24</v>
      </c>
      <c r="I53" s="12">
        <v>0</v>
      </c>
    </row>
    <row r="54" spans="2:9" ht="15" customHeight="1" x14ac:dyDescent="0.2">
      <c r="B54" t="s">
        <v>156</v>
      </c>
      <c r="C54" s="12">
        <v>62</v>
      </c>
      <c r="D54" s="8">
        <v>2.35</v>
      </c>
      <c r="E54" s="12">
        <v>33</v>
      </c>
      <c r="F54" s="8">
        <v>2.42</v>
      </c>
      <c r="G54" s="12">
        <v>29</v>
      </c>
      <c r="H54" s="8">
        <v>2.2999999999999998</v>
      </c>
      <c r="I54" s="12">
        <v>0</v>
      </c>
    </row>
    <row r="55" spans="2:9" ht="15" customHeight="1" x14ac:dyDescent="0.2">
      <c r="B55" t="s">
        <v>165</v>
      </c>
      <c r="C55" s="12">
        <v>55</v>
      </c>
      <c r="D55" s="8">
        <v>2.08</v>
      </c>
      <c r="E55" s="12">
        <v>45</v>
      </c>
      <c r="F55" s="8">
        <v>3.3</v>
      </c>
      <c r="G55" s="12">
        <v>10</v>
      </c>
      <c r="H55" s="8">
        <v>0.79</v>
      </c>
      <c r="I55" s="12">
        <v>0</v>
      </c>
    </row>
    <row r="56" spans="2:9" ht="15" customHeight="1" x14ac:dyDescent="0.2">
      <c r="B56" t="s">
        <v>154</v>
      </c>
      <c r="C56" s="12">
        <v>53</v>
      </c>
      <c r="D56" s="8">
        <v>2.0099999999999998</v>
      </c>
      <c r="E56" s="12">
        <v>12</v>
      </c>
      <c r="F56" s="8">
        <v>0.88</v>
      </c>
      <c r="G56" s="12">
        <v>41</v>
      </c>
      <c r="H56" s="8">
        <v>3.25</v>
      </c>
      <c r="I56" s="12">
        <v>0</v>
      </c>
    </row>
    <row r="57" spans="2:9" ht="15" customHeight="1" x14ac:dyDescent="0.2">
      <c r="B57" t="s">
        <v>152</v>
      </c>
      <c r="C57" s="12">
        <v>44</v>
      </c>
      <c r="D57" s="8">
        <v>1.67</v>
      </c>
      <c r="E57" s="12">
        <v>7</v>
      </c>
      <c r="F57" s="8">
        <v>0.51</v>
      </c>
      <c r="G57" s="12">
        <v>37</v>
      </c>
      <c r="H57" s="8">
        <v>2.94</v>
      </c>
      <c r="I57" s="12">
        <v>0</v>
      </c>
    </row>
    <row r="58" spans="2:9" ht="15" customHeight="1" x14ac:dyDescent="0.2">
      <c r="B58" t="s">
        <v>160</v>
      </c>
      <c r="C58" s="12">
        <v>44</v>
      </c>
      <c r="D58" s="8">
        <v>1.67</v>
      </c>
      <c r="E58" s="12">
        <v>5</v>
      </c>
      <c r="F58" s="8">
        <v>0.37</v>
      </c>
      <c r="G58" s="12">
        <v>39</v>
      </c>
      <c r="H58" s="8">
        <v>3.1</v>
      </c>
      <c r="I58" s="12">
        <v>0</v>
      </c>
    </row>
    <row r="59" spans="2:9" ht="15" customHeight="1" x14ac:dyDescent="0.2">
      <c r="B59" t="s">
        <v>155</v>
      </c>
      <c r="C59" s="12">
        <v>43</v>
      </c>
      <c r="D59" s="8">
        <v>1.63</v>
      </c>
      <c r="E59" s="12">
        <v>12</v>
      </c>
      <c r="F59" s="8">
        <v>0.88</v>
      </c>
      <c r="G59" s="12">
        <v>31</v>
      </c>
      <c r="H59" s="8">
        <v>2.46</v>
      </c>
      <c r="I59" s="12">
        <v>0</v>
      </c>
    </row>
    <row r="60" spans="2:9" ht="15" customHeight="1" x14ac:dyDescent="0.2">
      <c r="B60" t="s">
        <v>176</v>
      </c>
      <c r="C60" s="12">
        <v>42</v>
      </c>
      <c r="D60" s="8">
        <v>1.59</v>
      </c>
      <c r="E60" s="12">
        <v>40</v>
      </c>
      <c r="F60" s="8">
        <v>2.93</v>
      </c>
      <c r="G60" s="12">
        <v>2</v>
      </c>
      <c r="H60" s="8">
        <v>0.16</v>
      </c>
      <c r="I60" s="12">
        <v>0</v>
      </c>
    </row>
    <row r="61" spans="2:9" ht="15" customHeight="1" x14ac:dyDescent="0.2">
      <c r="B61" t="s">
        <v>169</v>
      </c>
      <c r="C61" s="12">
        <v>42</v>
      </c>
      <c r="D61" s="8">
        <v>1.59</v>
      </c>
      <c r="E61" s="12">
        <v>30</v>
      </c>
      <c r="F61" s="8">
        <v>2.2000000000000002</v>
      </c>
      <c r="G61" s="12">
        <v>12</v>
      </c>
      <c r="H61" s="8">
        <v>0.95</v>
      </c>
      <c r="I61" s="12">
        <v>0</v>
      </c>
    </row>
    <row r="62" spans="2:9" ht="15" customHeight="1" x14ac:dyDescent="0.2">
      <c r="B62" t="s">
        <v>153</v>
      </c>
      <c r="C62" s="12">
        <v>39</v>
      </c>
      <c r="D62" s="8">
        <v>1.48</v>
      </c>
      <c r="E62" s="12">
        <v>8</v>
      </c>
      <c r="F62" s="8">
        <v>0.59</v>
      </c>
      <c r="G62" s="12">
        <v>31</v>
      </c>
      <c r="H62" s="8">
        <v>2.46</v>
      </c>
      <c r="I62" s="12">
        <v>0</v>
      </c>
    </row>
    <row r="63" spans="2:9" ht="15" customHeight="1" x14ac:dyDescent="0.2">
      <c r="B63" t="s">
        <v>158</v>
      </c>
      <c r="C63" s="12">
        <v>39</v>
      </c>
      <c r="D63" s="8">
        <v>1.48</v>
      </c>
      <c r="E63" s="12">
        <v>24</v>
      </c>
      <c r="F63" s="8">
        <v>1.76</v>
      </c>
      <c r="G63" s="12">
        <v>15</v>
      </c>
      <c r="H63" s="8">
        <v>1.19</v>
      </c>
      <c r="I63" s="12">
        <v>0</v>
      </c>
    </row>
    <row r="64" spans="2:9" ht="15" customHeight="1" x14ac:dyDescent="0.2">
      <c r="B64" t="s">
        <v>196</v>
      </c>
      <c r="C64" s="12">
        <v>37</v>
      </c>
      <c r="D64" s="8">
        <v>1.4</v>
      </c>
      <c r="E64" s="12">
        <v>8</v>
      </c>
      <c r="F64" s="8">
        <v>0.59</v>
      </c>
      <c r="G64" s="12">
        <v>29</v>
      </c>
      <c r="H64" s="8">
        <v>2.2999999999999998</v>
      </c>
      <c r="I64" s="12">
        <v>0</v>
      </c>
    </row>
    <row r="65" spans="2:9" ht="15" customHeight="1" x14ac:dyDescent="0.2">
      <c r="B65" t="s">
        <v>205</v>
      </c>
      <c r="C65" s="12">
        <v>36</v>
      </c>
      <c r="D65" s="8">
        <v>1.36</v>
      </c>
      <c r="E65" s="12">
        <v>8</v>
      </c>
      <c r="F65" s="8">
        <v>0.59</v>
      </c>
      <c r="G65" s="12">
        <v>28</v>
      </c>
      <c r="H65" s="8">
        <v>2.2200000000000002</v>
      </c>
      <c r="I65" s="12">
        <v>0</v>
      </c>
    </row>
    <row r="66" spans="2:9" ht="15" customHeight="1" x14ac:dyDescent="0.2">
      <c r="B66" t="s">
        <v>179</v>
      </c>
      <c r="C66" s="12">
        <v>35</v>
      </c>
      <c r="D66" s="8">
        <v>1.33</v>
      </c>
      <c r="E66" s="12">
        <v>26</v>
      </c>
      <c r="F66" s="8">
        <v>1.9</v>
      </c>
      <c r="G66" s="12">
        <v>9</v>
      </c>
      <c r="H66" s="8">
        <v>0.71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7AA8-E9AE-4997-92F9-DFFB9032847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908</v>
      </c>
      <c r="D6" s="8">
        <v>16.239999999999998</v>
      </c>
      <c r="E6" s="12">
        <v>146</v>
      </c>
      <c r="F6" s="8">
        <v>6</v>
      </c>
      <c r="G6" s="12">
        <v>762</v>
      </c>
      <c r="H6" s="8">
        <v>24.16</v>
      </c>
      <c r="I6" s="12">
        <v>0</v>
      </c>
    </row>
    <row r="7" spans="2:9" ht="15" customHeight="1" x14ac:dyDescent="0.2">
      <c r="B7" t="s">
        <v>73</v>
      </c>
      <c r="C7" s="12">
        <v>718</v>
      </c>
      <c r="D7" s="8">
        <v>12.84</v>
      </c>
      <c r="E7" s="12">
        <v>170</v>
      </c>
      <c r="F7" s="8">
        <v>6.99</v>
      </c>
      <c r="G7" s="12">
        <v>547</v>
      </c>
      <c r="H7" s="8">
        <v>17.34</v>
      </c>
      <c r="I7" s="12">
        <v>1</v>
      </c>
    </row>
    <row r="8" spans="2:9" ht="15" customHeight="1" x14ac:dyDescent="0.2">
      <c r="B8" t="s">
        <v>74</v>
      </c>
      <c r="C8" s="12">
        <v>6</v>
      </c>
      <c r="D8" s="8">
        <v>0.11</v>
      </c>
      <c r="E8" s="12">
        <v>0</v>
      </c>
      <c r="F8" s="8">
        <v>0</v>
      </c>
      <c r="G8" s="12">
        <v>6</v>
      </c>
      <c r="H8" s="8">
        <v>0.19</v>
      </c>
      <c r="I8" s="12">
        <v>0</v>
      </c>
    </row>
    <row r="9" spans="2:9" ht="15" customHeight="1" x14ac:dyDescent="0.2">
      <c r="B9" t="s">
        <v>75</v>
      </c>
      <c r="C9" s="12">
        <v>40</v>
      </c>
      <c r="D9" s="8">
        <v>0.72</v>
      </c>
      <c r="E9" s="12">
        <v>2</v>
      </c>
      <c r="F9" s="8">
        <v>0.08</v>
      </c>
      <c r="G9" s="12">
        <v>38</v>
      </c>
      <c r="H9" s="8">
        <v>1.2</v>
      </c>
      <c r="I9" s="12">
        <v>0</v>
      </c>
    </row>
    <row r="10" spans="2:9" ht="15" customHeight="1" x14ac:dyDescent="0.2">
      <c r="B10" t="s">
        <v>76</v>
      </c>
      <c r="C10" s="12">
        <v>59</v>
      </c>
      <c r="D10" s="8">
        <v>1.06</v>
      </c>
      <c r="E10" s="12">
        <v>10</v>
      </c>
      <c r="F10" s="8">
        <v>0.41</v>
      </c>
      <c r="G10" s="12">
        <v>49</v>
      </c>
      <c r="H10" s="8">
        <v>1.55</v>
      </c>
      <c r="I10" s="12">
        <v>0</v>
      </c>
    </row>
    <row r="11" spans="2:9" ht="15" customHeight="1" x14ac:dyDescent="0.2">
      <c r="B11" t="s">
        <v>77</v>
      </c>
      <c r="C11" s="12">
        <v>1064</v>
      </c>
      <c r="D11" s="8">
        <v>19.03</v>
      </c>
      <c r="E11" s="12">
        <v>395</v>
      </c>
      <c r="F11" s="8">
        <v>16.239999999999998</v>
      </c>
      <c r="G11" s="12">
        <v>669</v>
      </c>
      <c r="H11" s="8">
        <v>21.21</v>
      </c>
      <c r="I11" s="12">
        <v>0</v>
      </c>
    </row>
    <row r="12" spans="2:9" ht="15" customHeight="1" x14ac:dyDescent="0.2">
      <c r="B12" t="s">
        <v>78</v>
      </c>
      <c r="C12" s="12">
        <v>40</v>
      </c>
      <c r="D12" s="8">
        <v>0.72</v>
      </c>
      <c r="E12" s="12">
        <v>4</v>
      </c>
      <c r="F12" s="8">
        <v>0.16</v>
      </c>
      <c r="G12" s="12">
        <v>36</v>
      </c>
      <c r="H12" s="8">
        <v>1.1399999999999999</v>
      </c>
      <c r="I12" s="12">
        <v>0</v>
      </c>
    </row>
    <row r="13" spans="2:9" ht="15" customHeight="1" x14ac:dyDescent="0.2">
      <c r="B13" t="s">
        <v>79</v>
      </c>
      <c r="C13" s="12">
        <v>399</v>
      </c>
      <c r="D13" s="8">
        <v>7.14</v>
      </c>
      <c r="E13" s="12">
        <v>95</v>
      </c>
      <c r="F13" s="8">
        <v>3.91</v>
      </c>
      <c r="G13" s="12">
        <v>303</v>
      </c>
      <c r="H13" s="8">
        <v>9.61</v>
      </c>
      <c r="I13" s="12">
        <v>0</v>
      </c>
    </row>
    <row r="14" spans="2:9" ht="15" customHeight="1" x14ac:dyDescent="0.2">
      <c r="B14" t="s">
        <v>80</v>
      </c>
      <c r="C14" s="12">
        <v>321</v>
      </c>
      <c r="D14" s="8">
        <v>5.74</v>
      </c>
      <c r="E14" s="12">
        <v>171</v>
      </c>
      <c r="F14" s="8">
        <v>7.03</v>
      </c>
      <c r="G14" s="12">
        <v>149</v>
      </c>
      <c r="H14" s="8">
        <v>4.72</v>
      </c>
      <c r="I14" s="12">
        <v>0</v>
      </c>
    </row>
    <row r="15" spans="2:9" ht="15" customHeight="1" x14ac:dyDescent="0.2">
      <c r="B15" t="s">
        <v>81</v>
      </c>
      <c r="C15" s="12">
        <v>640</v>
      </c>
      <c r="D15" s="8">
        <v>11.44</v>
      </c>
      <c r="E15" s="12">
        <v>490</v>
      </c>
      <c r="F15" s="8">
        <v>20.149999999999999</v>
      </c>
      <c r="G15" s="12">
        <v>149</v>
      </c>
      <c r="H15" s="8">
        <v>4.72</v>
      </c>
      <c r="I15" s="12">
        <v>0</v>
      </c>
    </row>
    <row r="16" spans="2:9" ht="15" customHeight="1" x14ac:dyDescent="0.2">
      <c r="B16" t="s">
        <v>82</v>
      </c>
      <c r="C16" s="12">
        <v>645</v>
      </c>
      <c r="D16" s="8">
        <v>11.53</v>
      </c>
      <c r="E16" s="12">
        <v>489</v>
      </c>
      <c r="F16" s="8">
        <v>20.11</v>
      </c>
      <c r="G16" s="12">
        <v>156</v>
      </c>
      <c r="H16" s="8">
        <v>4.95</v>
      </c>
      <c r="I16" s="12">
        <v>0</v>
      </c>
    </row>
    <row r="17" spans="2:9" ht="15" customHeight="1" x14ac:dyDescent="0.2">
      <c r="B17" t="s">
        <v>83</v>
      </c>
      <c r="C17" s="12">
        <v>292</v>
      </c>
      <c r="D17" s="8">
        <v>5.22</v>
      </c>
      <c r="E17" s="12">
        <v>219</v>
      </c>
      <c r="F17" s="8">
        <v>9</v>
      </c>
      <c r="G17" s="12">
        <v>73</v>
      </c>
      <c r="H17" s="8">
        <v>2.31</v>
      </c>
      <c r="I17" s="12">
        <v>0</v>
      </c>
    </row>
    <row r="18" spans="2:9" ht="15" customHeight="1" x14ac:dyDescent="0.2">
      <c r="B18" t="s">
        <v>84</v>
      </c>
      <c r="C18" s="12">
        <v>265</v>
      </c>
      <c r="D18" s="8">
        <v>4.74</v>
      </c>
      <c r="E18" s="12">
        <v>172</v>
      </c>
      <c r="F18" s="8">
        <v>7.07</v>
      </c>
      <c r="G18" s="12">
        <v>93</v>
      </c>
      <c r="H18" s="8">
        <v>2.95</v>
      </c>
      <c r="I18" s="12">
        <v>0</v>
      </c>
    </row>
    <row r="19" spans="2:9" ht="15" customHeight="1" x14ac:dyDescent="0.2">
      <c r="B19" t="s">
        <v>85</v>
      </c>
      <c r="C19" s="12">
        <v>195</v>
      </c>
      <c r="D19" s="8">
        <v>3.49</v>
      </c>
      <c r="E19" s="12">
        <v>69</v>
      </c>
      <c r="F19" s="8">
        <v>2.84</v>
      </c>
      <c r="G19" s="12">
        <v>124</v>
      </c>
      <c r="H19" s="8">
        <v>3.93</v>
      </c>
      <c r="I19" s="12">
        <v>2</v>
      </c>
    </row>
    <row r="20" spans="2:9" ht="15" customHeight="1" x14ac:dyDescent="0.2">
      <c r="B20" s="9" t="s">
        <v>277</v>
      </c>
      <c r="C20" s="12">
        <f>SUM(LTBL_23206[総数／事業所数])</f>
        <v>5592</v>
      </c>
      <c r="E20" s="12">
        <f>SUBTOTAL(109,LTBL_23206[個人／事業所数])</f>
        <v>2432</v>
      </c>
      <c r="G20" s="12">
        <f>SUBTOTAL(109,LTBL_23206[法人／事業所数])</f>
        <v>3154</v>
      </c>
      <c r="I20" s="12">
        <f>SUBTOTAL(109,LTBL_23206[法人以外の団体／事業所数])</f>
        <v>3</v>
      </c>
    </row>
    <row r="21" spans="2:9" ht="15" customHeight="1" x14ac:dyDescent="0.2">
      <c r="E21" s="11">
        <f>LTBL_23206[[#Totals],[個人／事業所数]]/LTBL_23206[[#Totals],[総数／事業所数]]</f>
        <v>0.43490701001430615</v>
      </c>
      <c r="G21" s="11">
        <f>LTBL_23206[[#Totals],[法人／事業所数]]/LTBL_23206[[#Totals],[総数／事業所数]]</f>
        <v>0.56402002861230327</v>
      </c>
      <c r="I21" s="11">
        <f>LTBL_23206[[#Totals],[法人以外の団体／事業所数]]/LTBL_23206[[#Totals],[総数／事業所数]]</f>
        <v>5.3648068669527897E-4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577</v>
      </c>
      <c r="D24" s="8">
        <v>10.32</v>
      </c>
      <c r="E24" s="12">
        <v>475</v>
      </c>
      <c r="F24" s="8">
        <v>19.53</v>
      </c>
      <c r="G24" s="12">
        <v>102</v>
      </c>
      <c r="H24" s="8">
        <v>3.23</v>
      </c>
      <c r="I24" s="12">
        <v>0</v>
      </c>
    </row>
    <row r="25" spans="2:9" ht="15" customHeight="1" x14ac:dyDescent="0.2">
      <c r="B25" t="s">
        <v>111</v>
      </c>
      <c r="C25" s="12">
        <v>549</v>
      </c>
      <c r="D25" s="8">
        <v>9.82</v>
      </c>
      <c r="E25" s="12">
        <v>434</v>
      </c>
      <c r="F25" s="8">
        <v>17.850000000000001</v>
      </c>
      <c r="G25" s="12">
        <v>115</v>
      </c>
      <c r="H25" s="8">
        <v>3.65</v>
      </c>
      <c r="I25" s="12">
        <v>0</v>
      </c>
    </row>
    <row r="26" spans="2:9" ht="15" customHeight="1" x14ac:dyDescent="0.2">
      <c r="B26" t="s">
        <v>94</v>
      </c>
      <c r="C26" s="12">
        <v>326</v>
      </c>
      <c r="D26" s="8">
        <v>5.83</v>
      </c>
      <c r="E26" s="12">
        <v>30</v>
      </c>
      <c r="F26" s="8">
        <v>1.23</v>
      </c>
      <c r="G26" s="12">
        <v>296</v>
      </c>
      <c r="H26" s="8">
        <v>9.3800000000000008</v>
      </c>
      <c r="I26" s="12">
        <v>0</v>
      </c>
    </row>
    <row r="27" spans="2:9" ht="15" customHeight="1" x14ac:dyDescent="0.2">
      <c r="B27" t="s">
        <v>95</v>
      </c>
      <c r="C27" s="12">
        <v>300</v>
      </c>
      <c r="D27" s="8">
        <v>5.36</v>
      </c>
      <c r="E27" s="12">
        <v>71</v>
      </c>
      <c r="F27" s="8">
        <v>2.92</v>
      </c>
      <c r="G27" s="12">
        <v>229</v>
      </c>
      <c r="H27" s="8">
        <v>7.26</v>
      </c>
      <c r="I27" s="12">
        <v>0</v>
      </c>
    </row>
    <row r="28" spans="2:9" ht="15" customHeight="1" x14ac:dyDescent="0.2">
      <c r="B28" t="s">
        <v>112</v>
      </c>
      <c r="C28" s="12">
        <v>292</v>
      </c>
      <c r="D28" s="8">
        <v>5.22</v>
      </c>
      <c r="E28" s="12">
        <v>219</v>
      </c>
      <c r="F28" s="8">
        <v>9</v>
      </c>
      <c r="G28" s="12">
        <v>73</v>
      </c>
      <c r="H28" s="8">
        <v>2.31</v>
      </c>
      <c r="I28" s="12">
        <v>0</v>
      </c>
    </row>
    <row r="29" spans="2:9" ht="15" customHeight="1" x14ac:dyDescent="0.2">
      <c r="B29" t="s">
        <v>107</v>
      </c>
      <c r="C29" s="12">
        <v>290</v>
      </c>
      <c r="D29" s="8">
        <v>5.19</v>
      </c>
      <c r="E29" s="12">
        <v>81</v>
      </c>
      <c r="F29" s="8">
        <v>3.33</v>
      </c>
      <c r="G29" s="12">
        <v>208</v>
      </c>
      <c r="H29" s="8">
        <v>6.59</v>
      </c>
      <c r="I29" s="12">
        <v>0</v>
      </c>
    </row>
    <row r="30" spans="2:9" ht="15" customHeight="1" x14ac:dyDescent="0.2">
      <c r="B30" t="s">
        <v>96</v>
      </c>
      <c r="C30" s="12">
        <v>282</v>
      </c>
      <c r="D30" s="8">
        <v>5.04</v>
      </c>
      <c r="E30" s="12">
        <v>45</v>
      </c>
      <c r="F30" s="8">
        <v>1.85</v>
      </c>
      <c r="G30" s="12">
        <v>237</v>
      </c>
      <c r="H30" s="8">
        <v>7.51</v>
      </c>
      <c r="I30" s="12">
        <v>0</v>
      </c>
    </row>
    <row r="31" spans="2:9" ht="15" customHeight="1" x14ac:dyDescent="0.2">
      <c r="B31" t="s">
        <v>105</v>
      </c>
      <c r="C31" s="12">
        <v>269</v>
      </c>
      <c r="D31" s="8">
        <v>4.8099999999999996</v>
      </c>
      <c r="E31" s="12">
        <v>112</v>
      </c>
      <c r="F31" s="8">
        <v>4.6100000000000003</v>
      </c>
      <c r="G31" s="12">
        <v>157</v>
      </c>
      <c r="H31" s="8">
        <v>4.9800000000000004</v>
      </c>
      <c r="I31" s="12">
        <v>0</v>
      </c>
    </row>
    <row r="32" spans="2:9" ht="15" customHeight="1" x14ac:dyDescent="0.2">
      <c r="B32" t="s">
        <v>104</v>
      </c>
      <c r="C32" s="12">
        <v>210</v>
      </c>
      <c r="D32" s="8">
        <v>3.76</v>
      </c>
      <c r="E32" s="12">
        <v>89</v>
      </c>
      <c r="F32" s="8">
        <v>3.66</v>
      </c>
      <c r="G32" s="12">
        <v>121</v>
      </c>
      <c r="H32" s="8">
        <v>3.84</v>
      </c>
      <c r="I32" s="12">
        <v>0</v>
      </c>
    </row>
    <row r="33" spans="2:9" ht="15" customHeight="1" x14ac:dyDescent="0.2">
      <c r="B33" t="s">
        <v>113</v>
      </c>
      <c r="C33" s="12">
        <v>198</v>
      </c>
      <c r="D33" s="8">
        <v>3.54</v>
      </c>
      <c r="E33" s="12">
        <v>171</v>
      </c>
      <c r="F33" s="8">
        <v>7.03</v>
      </c>
      <c r="G33" s="12">
        <v>27</v>
      </c>
      <c r="H33" s="8">
        <v>0.86</v>
      </c>
      <c r="I33" s="12">
        <v>0</v>
      </c>
    </row>
    <row r="34" spans="2:9" ht="15" customHeight="1" x14ac:dyDescent="0.2">
      <c r="B34" t="s">
        <v>108</v>
      </c>
      <c r="C34" s="12">
        <v>176</v>
      </c>
      <c r="D34" s="8">
        <v>3.15</v>
      </c>
      <c r="E34" s="12">
        <v>118</v>
      </c>
      <c r="F34" s="8">
        <v>4.8499999999999996</v>
      </c>
      <c r="G34" s="12">
        <v>58</v>
      </c>
      <c r="H34" s="8">
        <v>1.84</v>
      </c>
      <c r="I34" s="12">
        <v>0</v>
      </c>
    </row>
    <row r="35" spans="2:9" ht="15" customHeight="1" x14ac:dyDescent="0.2">
      <c r="B35" t="s">
        <v>109</v>
      </c>
      <c r="C35" s="12">
        <v>140</v>
      </c>
      <c r="D35" s="8">
        <v>2.5</v>
      </c>
      <c r="E35" s="12">
        <v>53</v>
      </c>
      <c r="F35" s="8">
        <v>2.1800000000000002</v>
      </c>
      <c r="G35" s="12">
        <v>86</v>
      </c>
      <c r="H35" s="8">
        <v>2.73</v>
      </c>
      <c r="I35" s="12">
        <v>0</v>
      </c>
    </row>
    <row r="36" spans="2:9" ht="15" customHeight="1" x14ac:dyDescent="0.2">
      <c r="B36" t="s">
        <v>97</v>
      </c>
      <c r="C36" s="12">
        <v>132</v>
      </c>
      <c r="D36" s="8">
        <v>2.36</v>
      </c>
      <c r="E36" s="12">
        <v>35</v>
      </c>
      <c r="F36" s="8">
        <v>1.44</v>
      </c>
      <c r="G36" s="12">
        <v>97</v>
      </c>
      <c r="H36" s="8">
        <v>3.08</v>
      </c>
      <c r="I36" s="12">
        <v>0</v>
      </c>
    </row>
    <row r="37" spans="2:9" ht="15" customHeight="1" x14ac:dyDescent="0.2">
      <c r="B37" t="s">
        <v>103</v>
      </c>
      <c r="C37" s="12">
        <v>129</v>
      </c>
      <c r="D37" s="8">
        <v>2.31</v>
      </c>
      <c r="E37" s="12">
        <v>82</v>
      </c>
      <c r="F37" s="8">
        <v>3.37</v>
      </c>
      <c r="G37" s="12">
        <v>47</v>
      </c>
      <c r="H37" s="8">
        <v>1.49</v>
      </c>
      <c r="I37" s="12">
        <v>0</v>
      </c>
    </row>
    <row r="38" spans="2:9" ht="15" customHeight="1" x14ac:dyDescent="0.2">
      <c r="B38" t="s">
        <v>100</v>
      </c>
      <c r="C38" s="12">
        <v>93</v>
      </c>
      <c r="D38" s="8">
        <v>1.66</v>
      </c>
      <c r="E38" s="12">
        <v>13</v>
      </c>
      <c r="F38" s="8">
        <v>0.53</v>
      </c>
      <c r="G38" s="12">
        <v>80</v>
      </c>
      <c r="H38" s="8">
        <v>2.54</v>
      </c>
      <c r="I38" s="12">
        <v>0</v>
      </c>
    </row>
    <row r="39" spans="2:9" ht="15" customHeight="1" x14ac:dyDescent="0.2">
      <c r="B39" t="s">
        <v>98</v>
      </c>
      <c r="C39" s="12">
        <v>89</v>
      </c>
      <c r="D39" s="8">
        <v>1.59</v>
      </c>
      <c r="E39" s="12">
        <v>9</v>
      </c>
      <c r="F39" s="8">
        <v>0.37</v>
      </c>
      <c r="G39" s="12">
        <v>80</v>
      </c>
      <c r="H39" s="8">
        <v>2.54</v>
      </c>
      <c r="I39" s="12">
        <v>0</v>
      </c>
    </row>
    <row r="40" spans="2:9" ht="15" customHeight="1" x14ac:dyDescent="0.2">
      <c r="B40" t="s">
        <v>101</v>
      </c>
      <c r="C40" s="12">
        <v>87</v>
      </c>
      <c r="D40" s="8">
        <v>1.56</v>
      </c>
      <c r="E40" s="12">
        <v>18</v>
      </c>
      <c r="F40" s="8">
        <v>0.74</v>
      </c>
      <c r="G40" s="12">
        <v>69</v>
      </c>
      <c r="H40" s="8">
        <v>2.19</v>
      </c>
      <c r="I40" s="12">
        <v>0</v>
      </c>
    </row>
    <row r="41" spans="2:9" ht="15" customHeight="1" x14ac:dyDescent="0.2">
      <c r="B41" t="s">
        <v>122</v>
      </c>
      <c r="C41" s="12">
        <v>84</v>
      </c>
      <c r="D41" s="8">
        <v>1.5</v>
      </c>
      <c r="E41" s="12">
        <v>43</v>
      </c>
      <c r="F41" s="8">
        <v>1.77</v>
      </c>
      <c r="G41" s="12">
        <v>41</v>
      </c>
      <c r="H41" s="8">
        <v>1.3</v>
      </c>
      <c r="I41" s="12">
        <v>0</v>
      </c>
    </row>
    <row r="42" spans="2:9" ht="15" customHeight="1" x14ac:dyDescent="0.2">
      <c r="B42" t="s">
        <v>102</v>
      </c>
      <c r="C42" s="12">
        <v>80</v>
      </c>
      <c r="D42" s="8">
        <v>1.43</v>
      </c>
      <c r="E42" s="12">
        <v>52</v>
      </c>
      <c r="F42" s="8">
        <v>2.14</v>
      </c>
      <c r="G42" s="12">
        <v>28</v>
      </c>
      <c r="H42" s="8">
        <v>0.89</v>
      </c>
      <c r="I42" s="12">
        <v>0</v>
      </c>
    </row>
    <row r="43" spans="2:9" ht="15" customHeight="1" x14ac:dyDescent="0.2">
      <c r="B43" t="s">
        <v>106</v>
      </c>
      <c r="C43" s="12">
        <v>79</v>
      </c>
      <c r="D43" s="8">
        <v>1.41</v>
      </c>
      <c r="E43" s="12">
        <v>11</v>
      </c>
      <c r="F43" s="8">
        <v>0.45</v>
      </c>
      <c r="G43" s="12">
        <v>68</v>
      </c>
      <c r="H43" s="8">
        <v>2.16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257</v>
      </c>
      <c r="D47" s="8">
        <v>4.5999999999999996</v>
      </c>
      <c r="E47" s="12">
        <v>212</v>
      </c>
      <c r="F47" s="8">
        <v>8.7200000000000006</v>
      </c>
      <c r="G47" s="12">
        <v>45</v>
      </c>
      <c r="H47" s="8">
        <v>1.43</v>
      </c>
      <c r="I47" s="12">
        <v>0</v>
      </c>
    </row>
    <row r="48" spans="2:9" ht="15" customHeight="1" x14ac:dyDescent="0.2">
      <c r="B48" t="s">
        <v>170</v>
      </c>
      <c r="C48" s="12">
        <v>199</v>
      </c>
      <c r="D48" s="8">
        <v>3.56</v>
      </c>
      <c r="E48" s="12">
        <v>161</v>
      </c>
      <c r="F48" s="8">
        <v>6.62</v>
      </c>
      <c r="G48" s="12">
        <v>38</v>
      </c>
      <c r="H48" s="8">
        <v>1.2</v>
      </c>
      <c r="I48" s="12">
        <v>0</v>
      </c>
    </row>
    <row r="49" spans="2:9" ht="15" customHeight="1" x14ac:dyDescent="0.2">
      <c r="B49" t="s">
        <v>165</v>
      </c>
      <c r="C49" s="12">
        <v>176</v>
      </c>
      <c r="D49" s="8">
        <v>3.15</v>
      </c>
      <c r="E49" s="12">
        <v>155</v>
      </c>
      <c r="F49" s="8">
        <v>6.37</v>
      </c>
      <c r="G49" s="12">
        <v>21</v>
      </c>
      <c r="H49" s="8">
        <v>0.67</v>
      </c>
      <c r="I49" s="12">
        <v>0</v>
      </c>
    </row>
    <row r="50" spans="2:9" ht="15" customHeight="1" x14ac:dyDescent="0.2">
      <c r="B50" t="s">
        <v>167</v>
      </c>
      <c r="C50" s="12">
        <v>171</v>
      </c>
      <c r="D50" s="8">
        <v>3.06</v>
      </c>
      <c r="E50" s="12">
        <v>161</v>
      </c>
      <c r="F50" s="8">
        <v>6.62</v>
      </c>
      <c r="G50" s="12">
        <v>10</v>
      </c>
      <c r="H50" s="8">
        <v>0.32</v>
      </c>
      <c r="I50" s="12">
        <v>0</v>
      </c>
    </row>
    <row r="51" spans="2:9" ht="15" customHeight="1" x14ac:dyDescent="0.2">
      <c r="B51" t="s">
        <v>161</v>
      </c>
      <c r="C51" s="12">
        <v>152</v>
      </c>
      <c r="D51" s="8">
        <v>2.72</v>
      </c>
      <c r="E51" s="12">
        <v>63</v>
      </c>
      <c r="F51" s="8">
        <v>2.59</v>
      </c>
      <c r="G51" s="12">
        <v>88</v>
      </c>
      <c r="H51" s="8">
        <v>2.79</v>
      </c>
      <c r="I51" s="12">
        <v>0</v>
      </c>
    </row>
    <row r="52" spans="2:9" ht="15" customHeight="1" x14ac:dyDescent="0.2">
      <c r="B52" t="s">
        <v>171</v>
      </c>
      <c r="C52" s="12">
        <v>150</v>
      </c>
      <c r="D52" s="8">
        <v>2.68</v>
      </c>
      <c r="E52" s="12">
        <v>130</v>
      </c>
      <c r="F52" s="8">
        <v>5.35</v>
      </c>
      <c r="G52" s="12">
        <v>20</v>
      </c>
      <c r="H52" s="8">
        <v>0.63</v>
      </c>
      <c r="I52" s="12">
        <v>0</v>
      </c>
    </row>
    <row r="53" spans="2:9" ht="15" customHeight="1" x14ac:dyDescent="0.2">
      <c r="B53" t="s">
        <v>164</v>
      </c>
      <c r="C53" s="12">
        <v>144</v>
      </c>
      <c r="D53" s="8">
        <v>2.58</v>
      </c>
      <c r="E53" s="12">
        <v>128</v>
      </c>
      <c r="F53" s="8">
        <v>5.26</v>
      </c>
      <c r="G53" s="12">
        <v>16</v>
      </c>
      <c r="H53" s="8">
        <v>0.51</v>
      </c>
      <c r="I53" s="12">
        <v>0</v>
      </c>
    </row>
    <row r="54" spans="2:9" ht="15" customHeight="1" x14ac:dyDescent="0.2">
      <c r="B54" t="s">
        <v>156</v>
      </c>
      <c r="C54" s="12">
        <v>136</v>
      </c>
      <c r="D54" s="8">
        <v>2.4300000000000002</v>
      </c>
      <c r="E54" s="12">
        <v>53</v>
      </c>
      <c r="F54" s="8">
        <v>2.1800000000000002</v>
      </c>
      <c r="G54" s="12">
        <v>83</v>
      </c>
      <c r="H54" s="8">
        <v>2.63</v>
      </c>
      <c r="I54" s="12">
        <v>0</v>
      </c>
    </row>
    <row r="55" spans="2:9" ht="15" customHeight="1" x14ac:dyDescent="0.2">
      <c r="B55" t="s">
        <v>163</v>
      </c>
      <c r="C55" s="12">
        <v>136</v>
      </c>
      <c r="D55" s="8">
        <v>2.4300000000000002</v>
      </c>
      <c r="E55" s="12">
        <v>93</v>
      </c>
      <c r="F55" s="8">
        <v>3.82</v>
      </c>
      <c r="G55" s="12">
        <v>43</v>
      </c>
      <c r="H55" s="8">
        <v>1.36</v>
      </c>
      <c r="I55" s="12">
        <v>0</v>
      </c>
    </row>
    <row r="56" spans="2:9" ht="15" customHeight="1" x14ac:dyDescent="0.2">
      <c r="B56" t="s">
        <v>154</v>
      </c>
      <c r="C56" s="12">
        <v>115</v>
      </c>
      <c r="D56" s="8">
        <v>2.06</v>
      </c>
      <c r="E56" s="12">
        <v>24</v>
      </c>
      <c r="F56" s="8">
        <v>0.99</v>
      </c>
      <c r="G56" s="12">
        <v>91</v>
      </c>
      <c r="H56" s="8">
        <v>2.89</v>
      </c>
      <c r="I56" s="12">
        <v>0</v>
      </c>
    </row>
    <row r="57" spans="2:9" ht="15" customHeight="1" x14ac:dyDescent="0.2">
      <c r="B57" t="s">
        <v>155</v>
      </c>
      <c r="C57" s="12">
        <v>98</v>
      </c>
      <c r="D57" s="8">
        <v>1.75</v>
      </c>
      <c r="E57" s="12">
        <v>16</v>
      </c>
      <c r="F57" s="8">
        <v>0.66</v>
      </c>
      <c r="G57" s="12">
        <v>82</v>
      </c>
      <c r="H57" s="8">
        <v>2.6</v>
      </c>
      <c r="I57" s="12">
        <v>0</v>
      </c>
    </row>
    <row r="58" spans="2:9" ht="15" customHeight="1" x14ac:dyDescent="0.2">
      <c r="B58" t="s">
        <v>153</v>
      </c>
      <c r="C58" s="12">
        <v>96</v>
      </c>
      <c r="D58" s="8">
        <v>1.72</v>
      </c>
      <c r="E58" s="12">
        <v>5</v>
      </c>
      <c r="F58" s="8">
        <v>0.21</v>
      </c>
      <c r="G58" s="12">
        <v>91</v>
      </c>
      <c r="H58" s="8">
        <v>2.89</v>
      </c>
      <c r="I58" s="12">
        <v>0</v>
      </c>
    </row>
    <row r="59" spans="2:9" ht="15" customHeight="1" x14ac:dyDescent="0.2">
      <c r="B59" t="s">
        <v>152</v>
      </c>
      <c r="C59" s="12">
        <v>90</v>
      </c>
      <c r="D59" s="8">
        <v>1.61</v>
      </c>
      <c r="E59" s="12">
        <v>5</v>
      </c>
      <c r="F59" s="8">
        <v>0.21</v>
      </c>
      <c r="G59" s="12">
        <v>85</v>
      </c>
      <c r="H59" s="8">
        <v>2.69</v>
      </c>
      <c r="I59" s="12">
        <v>0</v>
      </c>
    </row>
    <row r="60" spans="2:9" ht="15" customHeight="1" x14ac:dyDescent="0.2">
      <c r="B60" t="s">
        <v>169</v>
      </c>
      <c r="C60" s="12">
        <v>88</v>
      </c>
      <c r="D60" s="8">
        <v>1.57</v>
      </c>
      <c r="E60" s="12">
        <v>58</v>
      </c>
      <c r="F60" s="8">
        <v>2.38</v>
      </c>
      <c r="G60" s="12">
        <v>30</v>
      </c>
      <c r="H60" s="8">
        <v>0.95</v>
      </c>
      <c r="I60" s="12">
        <v>0</v>
      </c>
    </row>
    <row r="61" spans="2:9" ht="15" customHeight="1" x14ac:dyDescent="0.2">
      <c r="B61" t="s">
        <v>162</v>
      </c>
      <c r="C61" s="12">
        <v>85</v>
      </c>
      <c r="D61" s="8">
        <v>1.52</v>
      </c>
      <c r="E61" s="12">
        <v>28</v>
      </c>
      <c r="F61" s="8">
        <v>1.1499999999999999</v>
      </c>
      <c r="G61" s="12">
        <v>56</v>
      </c>
      <c r="H61" s="8">
        <v>1.78</v>
      </c>
      <c r="I61" s="12">
        <v>0</v>
      </c>
    </row>
    <row r="62" spans="2:9" ht="15" customHeight="1" x14ac:dyDescent="0.2">
      <c r="B62" t="s">
        <v>188</v>
      </c>
      <c r="C62" s="12">
        <v>84</v>
      </c>
      <c r="D62" s="8">
        <v>1.5</v>
      </c>
      <c r="E62" s="12">
        <v>43</v>
      </c>
      <c r="F62" s="8">
        <v>1.77</v>
      </c>
      <c r="G62" s="12">
        <v>41</v>
      </c>
      <c r="H62" s="8">
        <v>1.3</v>
      </c>
      <c r="I62" s="12">
        <v>0</v>
      </c>
    </row>
    <row r="63" spans="2:9" ht="15" customHeight="1" x14ac:dyDescent="0.2">
      <c r="B63" t="s">
        <v>158</v>
      </c>
      <c r="C63" s="12">
        <v>78</v>
      </c>
      <c r="D63" s="8">
        <v>1.39</v>
      </c>
      <c r="E63" s="12">
        <v>41</v>
      </c>
      <c r="F63" s="8">
        <v>1.69</v>
      </c>
      <c r="G63" s="12">
        <v>37</v>
      </c>
      <c r="H63" s="8">
        <v>1.17</v>
      </c>
      <c r="I63" s="12">
        <v>0</v>
      </c>
    </row>
    <row r="64" spans="2:9" ht="15" customHeight="1" x14ac:dyDescent="0.2">
      <c r="B64" t="s">
        <v>157</v>
      </c>
      <c r="C64" s="12">
        <v>74</v>
      </c>
      <c r="D64" s="8">
        <v>1.32</v>
      </c>
      <c r="E64" s="12">
        <v>30</v>
      </c>
      <c r="F64" s="8">
        <v>1.23</v>
      </c>
      <c r="G64" s="12">
        <v>44</v>
      </c>
      <c r="H64" s="8">
        <v>1.4</v>
      </c>
      <c r="I64" s="12">
        <v>0</v>
      </c>
    </row>
    <row r="65" spans="2:9" ht="15" customHeight="1" x14ac:dyDescent="0.2">
      <c r="B65" t="s">
        <v>166</v>
      </c>
      <c r="C65" s="12">
        <v>72</v>
      </c>
      <c r="D65" s="8">
        <v>1.29</v>
      </c>
      <c r="E65" s="12">
        <v>27</v>
      </c>
      <c r="F65" s="8">
        <v>1.1100000000000001</v>
      </c>
      <c r="G65" s="12">
        <v>45</v>
      </c>
      <c r="H65" s="8">
        <v>1.43</v>
      </c>
      <c r="I65" s="12">
        <v>0</v>
      </c>
    </row>
    <row r="66" spans="2:9" ht="15" customHeight="1" x14ac:dyDescent="0.2">
      <c r="B66" t="s">
        <v>205</v>
      </c>
      <c r="C66" s="12">
        <v>70</v>
      </c>
      <c r="D66" s="8">
        <v>1.25</v>
      </c>
      <c r="E66" s="12">
        <v>13</v>
      </c>
      <c r="F66" s="8">
        <v>0.53</v>
      </c>
      <c r="G66" s="12">
        <v>57</v>
      </c>
      <c r="H66" s="8">
        <v>1.81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B5B3-6CC8-4CB2-B735-50F4BE17025F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550</v>
      </c>
      <c r="D6" s="8">
        <v>14.81</v>
      </c>
      <c r="E6" s="12">
        <v>155</v>
      </c>
      <c r="F6" s="8">
        <v>8.02</v>
      </c>
      <c r="G6" s="12">
        <v>395</v>
      </c>
      <c r="H6" s="8">
        <v>22.44</v>
      </c>
      <c r="I6" s="12">
        <v>0</v>
      </c>
    </row>
    <row r="7" spans="2:9" ht="15" customHeight="1" x14ac:dyDescent="0.2">
      <c r="B7" t="s">
        <v>73</v>
      </c>
      <c r="C7" s="12">
        <v>505</v>
      </c>
      <c r="D7" s="8">
        <v>13.6</v>
      </c>
      <c r="E7" s="12">
        <v>146</v>
      </c>
      <c r="F7" s="8">
        <v>7.56</v>
      </c>
      <c r="G7" s="12">
        <v>359</v>
      </c>
      <c r="H7" s="8">
        <v>20.399999999999999</v>
      </c>
      <c r="I7" s="12">
        <v>0</v>
      </c>
    </row>
    <row r="8" spans="2:9" ht="15" customHeight="1" x14ac:dyDescent="0.2">
      <c r="B8" t="s">
        <v>74</v>
      </c>
      <c r="C8" s="12">
        <v>6</v>
      </c>
      <c r="D8" s="8">
        <v>0.16</v>
      </c>
      <c r="E8" s="12">
        <v>0</v>
      </c>
      <c r="F8" s="8">
        <v>0</v>
      </c>
      <c r="G8" s="12">
        <v>6</v>
      </c>
      <c r="H8" s="8">
        <v>0.34</v>
      </c>
      <c r="I8" s="12">
        <v>0</v>
      </c>
    </row>
    <row r="9" spans="2:9" ht="15" customHeight="1" x14ac:dyDescent="0.2">
      <c r="B9" t="s">
        <v>75</v>
      </c>
      <c r="C9" s="12">
        <v>22</v>
      </c>
      <c r="D9" s="8">
        <v>0.59</v>
      </c>
      <c r="E9" s="12">
        <v>2</v>
      </c>
      <c r="F9" s="8">
        <v>0.1</v>
      </c>
      <c r="G9" s="12">
        <v>20</v>
      </c>
      <c r="H9" s="8">
        <v>1.1399999999999999</v>
      </c>
      <c r="I9" s="12">
        <v>0</v>
      </c>
    </row>
    <row r="10" spans="2:9" ht="15" customHeight="1" x14ac:dyDescent="0.2">
      <c r="B10" t="s">
        <v>76</v>
      </c>
      <c r="C10" s="12">
        <v>36</v>
      </c>
      <c r="D10" s="8">
        <v>0.97</v>
      </c>
      <c r="E10" s="12">
        <v>8</v>
      </c>
      <c r="F10" s="8">
        <v>0.41</v>
      </c>
      <c r="G10" s="12">
        <v>26</v>
      </c>
      <c r="H10" s="8">
        <v>1.48</v>
      </c>
      <c r="I10" s="12">
        <v>1</v>
      </c>
    </row>
    <row r="11" spans="2:9" ht="15" customHeight="1" x14ac:dyDescent="0.2">
      <c r="B11" t="s">
        <v>77</v>
      </c>
      <c r="C11" s="12">
        <v>860</v>
      </c>
      <c r="D11" s="8">
        <v>23.16</v>
      </c>
      <c r="E11" s="12">
        <v>443</v>
      </c>
      <c r="F11" s="8">
        <v>22.93</v>
      </c>
      <c r="G11" s="12">
        <v>413</v>
      </c>
      <c r="H11" s="8">
        <v>23.47</v>
      </c>
      <c r="I11" s="12">
        <v>4</v>
      </c>
    </row>
    <row r="12" spans="2:9" ht="15" customHeight="1" x14ac:dyDescent="0.2">
      <c r="B12" t="s">
        <v>78</v>
      </c>
      <c r="C12" s="12">
        <v>22</v>
      </c>
      <c r="D12" s="8">
        <v>0.59</v>
      </c>
      <c r="E12" s="12">
        <v>4</v>
      </c>
      <c r="F12" s="8">
        <v>0.21</v>
      </c>
      <c r="G12" s="12">
        <v>18</v>
      </c>
      <c r="H12" s="8">
        <v>1.02</v>
      </c>
      <c r="I12" s="12">
        <v>0</v>
      </c>
    </row>
    <row r="13" spans="2:9" ht="15" customHeight="1" x14ac:dyDescent="0.2">
      <c r="B13" t="s">
        <v>79</v>
      </c>
      <c r="C13" s="12">
        <v>209</v>
      </c>
      <c r="D13" s="8">
        <v>5.63</v>
      </c>
      <c r="E13" s="12">
        <v>60</v>
      </c>
      <c r="F13" s="8">
        <v>3.11</v>
      </c>
      <c r="G13" s="12">
        <v>147</v>
      </c>
      <c r="H13" s="8">
        <v>8.35</v>
      </c>
      <c r="I13" s="12">
        <v>1</v>
      </c>
    </row>
    <row r="14" spans="2:9" ht="15" customHeight="1" x14ac:dyDescent="0.2">
      <c r="B14" t="s">
        <v>80</v>
      </c>
      <c r="C14" s="12">
        <v>184</v>
      </c>
      <c r="D14" s="8">
        <v>4.96</v>
      </c>
      <c r="E14" s="12">
        <v>107</v>
      </c>
      <c r="F14" s="8">
        <v>5.54</v>
      </c>
      <c r="G14" s="12">
        <v>73</v>
      </c>
      <c r="H14" s="8">
        <v>4.1500000000000004</v>
      </c>
      <c r="I14" s="12">
        <v>0</v>
      </c>
    </row>
    <row r="15" spans="2:9" ht="15" customHeight="1" x14ac:dyDescent="0.2">
      <c r="B15" t="s">
        <v>81</v>
      </c>
      <c r="C15" s="12">
        <v>360</v>
      </c>
      <c r="D15" s="8">
        <v>9.6999999999999993</v>
      </c>
      <c r="E15" s="12">
        <v>293</v>
      </c>
      <c r="F15" s="8">
        <v>15.17</v>
      </c>
      <c r="G15" s="12">
        <v>66</v>
      </c>
      <c r="H15" s="8">
        <v>3.75</v>
      </c>
      <c r="I15" s="12">
        <v>0</v>
      </c>
    </row>
    <row r="16" spans="2:9" ht="15" customHeight="1" x14ac:dyDescent="0.2">
      <c r="B16" t="s">
        <v>82</v>
      </c>
      <c r="C16" s="12">
        <v>501</v>
      </c>
      <c r="D16" s="8">
        <v>13.49</v>
      </c>
      <c r="E16" s="12">
        <v>419</v>
      </c>
      <c r="F16" s="8">
        <v>21.69</v>
      </c>
      <c r="G16" s="12">
        <v>82</v>
      </c>
      <c r="H16" s="8">
        <v>4.66</v>
      </c>
      <c r="I16" s="12">
        <v>0</v>
      </c>
    </row>
    <row r="17" spans="2:9" ht="15" customHeight="1" x14ac:dyDescent="0.2">
      <c r="B17" t="s">
        <v>83</v>
      </c>
      <c r="C17" s="12">
        <v>182</v>
      </c>
      <c r="D17" s="8">
        <v>4.9000000000000004</v>
      </c>
      <c r="E17" s="12">
        <v>146</v>
      </c>
      <c r="F17" s="8">
        <v>7.56</v>
      </c>
      <c r="G17" s="12">
        <v>35</v>
      </c>
      <c r="H17" s="8">
        <v>1.99</v>
      </c>
      <c r="I17" s="12">
        <v>0</v>
      </c>
    </row>
    <row r="18" spans="2:9" ht="15" customHeight="1" x14ac:dyDescent="0.2">
      <c r="B18" t="s">
        <v>84</v>
      </c>
      <c r="C18" s="12">
        <v>165</v>
      </c>
      <c r="D18" s="8">
        <v>4.4400000000000004</v>
      </c>
      <c r="E18" s="12">
        <v>102</v>
      </c>
      <c r="F18" s="8">
        <v>5.28</v>
      </c>
      <c r="G18" s="12">
        <v>58</v>
      </c>
      <c r="H18" s="8">
        <v>3.3</v>
      </c>
      <c r="I18" s="12">
        <v>0</v>
      </c>
    </row>
    <row r="19" spans="2:9" ht="15" customHeight="1" x14ac:dyDescent="0.2">
      <c r="B19" t="s">
        <v>85</v>
      </c>
      <c r="C19" s="12">
        <v>111</v>
      </c>
      <c r="D19" s="8">
        <v>2.99</v>
      </c>
      <c r="E19" s="12">
        <v>47</v>
      </c>
      <c r="F19" s="8">
        <v>2.4300000000000002</v>
      </c>
      <c r="G19" s="12">
        <v>62</v>
      </c>
      <c r="H19" s="8">
        <v>3.52</v>
      </c>
      <c r="I19" s="12">
        <v>0</v>
      </c>
    </row>
    <row r="20" spans="2:9" ht="15" customHeight="1" x14ac:dyDescent="0.2">
      <c r="B20" s="9" t="s">
        <v>277</v>
      </c>
      <c r="C20" s="12">
        <f>SUM(LTBL_23207[総数／事業所数])</f>
        <v>3713</v>
      </c>
      <c r="E20" s="12">
        <f>SUBTOTAL(109,LTBL_23207[個人／事業所数])</f>
        <v>1932</v>
      </c>
      <c r="G20" s="12">
        <f>SUBTOTAL(109,LTBL_23207[法人／事業所数])</f>
        <v>1760</v>
      </c>
      <c r="I20" s="12">
        <f>SUBTOTAL(109,LTBL_23207[法人以外の団体／事業所数])</f>
        <v>6</v>
      </c>
    </row>
    <row r="21" spans="2:9" ht="15" customHeight="1" x14ac:dyDescent="0.2">
      <c r="E21" s="11">
        <f>LTBL_23207[[#Totals],[個人／事業所数]]/LTBL_23207[[#Totals],[総数／事業所数]]</f>
        <v>0.52033396175599245</v>
      </c>
      <c r="G21" s="11">
        <f>LTBL_23207[[#Totals],[法人／事業所数]]/LTBL_23207[[#Totals],[総数／事業所数]]</f>
        <v>0.47401023431187717</v>
      </c>
      <c r="I21" s="11">
        <f>LTBL_23207[[#Totals],[法人以外の団体／事業所数]]/LTBL_23207[[#Totals],[総数／事業所数]]</f>
        <v>1.6159439806086723E-3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436</v>
      </c>
      <c r="D24" s="8">
        <v>11.74</v>
      </c>
      <c r="E24" s="12">
        <v>387</v>
      </c>
      <c r="F24" s="8">
        <v>20.03</v>
      </c>
      <c r="G24" s="12">
        <v>49</v>
      </c>
      <c r="H24" s="8">
        <v>2.78</v>
      </c>
      <c r="I24" s="12">
        <v>0</v>
      </c>
    </row>
    <row r="25" spans="2:9" ht="15" customHeight="1" x14ac:dyDescent="0.2">
      <c r="B25" t="s">
        <v>110</v>
      </c>
      <c r="C25" s="12">
        <v>333</v>
      </c>
      <c r="D25" s="8">
        <v>8.9700000000000006</v>
      </c>
      <c r="E25" s="12">
        <v>282</v>
      </c>
      <c r="F25" s="8">
        <v>14.6</v>
      </c>
      <c r="G25" s="12">
        <v>51</v>
      </c>
      <c r="H25" s="8">
        <v>2.9</v>
      </c>
      <c r="I25" s="12">
        <v>0</v>
      </c>
    </row>
    <row r="26" spans="2:9" ht="15" customHeight="1" x14ac:dyDescent="0.2">
      <c r="B26" t="s">
        <v>105</v>
      </c>
      <c r="C26" s="12">
        <v>256</v>
      </c>
      <c r="D26" s="8">
        <v>6.89</v>
      </c>
      <c r="E26" s="12">
        <v>148</v>
      </c>
      <c r="F26" s="8">
        <v>7.66</v>
      </c>
      <c r="G26" s="12">
        <v>108</v>
      </c>
      <c r="H26" s="8">
        <v>6.14</v>
      </c>
      <c r="I26" s="12">
        <v>0</v>
      </c>
    </row>
    <row r="27" spans="2:9" ht="15" customHeight="1" x14ac:dyDescent="0.2">
      <c r="B27" t="s">
        <v>94</v>
      </c>
      <c r="C27" s="12">
        <v>222</v>
      </c>
      <c r="D27" s="8">
        <v>5.98</v>
      </c>
      <c r="E27" s="12">
        <v>46</v>
      </c>
      <c r="F27" s="8">
        <v>2.38</v>
      </c>
      <c r="G27" s="12">
        <v>176</v>
      </c>
      <c r="H27" s="8">
        <v>10</v>
      </c>
      <c r="I27" s="12">
        <v>0</v>
      </c>
    </row>
    <row r="28" spans="2:9" ht="15" customHeight="1" x14ac:dyDescent="0.2">
      <c r="B28" t="s">
        <v>95</v>
      </c>
      <c r="C28" s="12">
        <v>192</v>
      </c>
      <c r="D28" s="8">
        <v>5.17</v>
      </c>
      <c r="E28" s="12">
        <v>78</v>
      </c>
      <c r="F28" s="8">
        <v>4.04</v>
      </c>
      <c r="G28" s="12">
        <v>114</v>
      </c>
      <c r="H28" s="8">
        <v>6.48</v>
      </c>
      <c r="I28" s="12">
        <v>0</v>
      </c>
    </row>
    <row r="29" spans="2:9" ht="15" customHeight="1" x14ac:dyDescent="0.2">
      <c r="B29" t="s">
        <v>112</v>
      </c>
      <c r="C29" s="12">
        <v>182</v>
      </c>
      <c r="D29" s="8">
        <v>4.9000000000000004</v>
      </c>
      <c r="E29" s="12">
        <v>146</v>
      </c>
      <c r="F29" s="8">
        <v>7.56</v>
      </c>
      <c r="G29" s="12">
        <v>35</v>
      </c>
      <c r="H29" s="8">
        <v>1.99</v>
      </c>
      <c r="I29" s="12">
        <v>0</v>
      </c>
    </row>
    <row r="30" spans="2:9" ht="15" customHeight="1" x14ac:dyDescent="0.2">
      <c r="B30" t="s">
        <v>104</v>
      </c>
      <c r="C30" s="12">
        <v>161</v>
      </c>
      <c r="D30" s="8">
        <v>4.34</v>
      </c>
      <c r="E30" s="12">
        <v>89</v>
      </c>
      <c r="F30" s="8">
        <v>4.6100000000000003</v>
      </c>
      <c r="G30" s="12">
        <v>72</v>
      </c>
      <c r="H30" s="8">
        <v>4.09</v>
      </c>
      <c r="I30" s="12">
        <v>0</v>
      </c>
    </row>
    <row r="31" spans="2:9" ht="15" customHeight="1" x14ac:dyDescent="0.2">
      <c r="B31" t="s">
        <v>103</v>
      </c>
      <c r="C31" s="12">
        <v>150</v>
      </c>
      <c r="D31" s="8">
        <v>4.04</v>
      </c>
      <c r="E31" s="12">
        <v>106</v>
      </c>
      <c r="F31" s="8">
        <v>5.49</v>
      </c>
      <c r="G31" s="12">
        <v>41</v>
      </c>
      <c r="H31" s="8">
        <v>2.33</v>
      </c>
      <c r="I31" s="12">
        <v>3</v>
      </c>
    </row>
    <row r="32" spans="2:9" ht="15" customHeight="1" x14ac:dyDescent="0.2">
      <c r="B32" t="s">
        <v>107</v>
      </c>
      <c r="C32" s="12">
        <v>143</v>
      </c>
      <c r="D32" s="8">
        <v>3.85</v>
      </c>
      <c r="E32" s="12">
        <v>35</v>
      </c>
      <c r="F32" s="8">
        <v>1.81</v>
      </c>
      <c r="G32" s="12">
        <v>106</v>
      </c>
      <c r="H32" s="8">
        <v>6.02</v>
      </c>
      <c r="I32" s="12">
        <v>1</v>
      </c>
    </row>
    <row r="33" spans="2:9" ht="15" customHeight="1" x14ac:dyDescent="0.2">
      <c r="B33" t="s">
        <v>96</v>
      </c>
      <c r="C33" s="12">
        <v>136</v>
      </c>
      <c r="D33" s="8">
        <v>3.66</v>
      </c>
      <c r="E33" s="12">
        <v>31</v>
      </c>
      <c r="F33" s="8">
        <v>1.6</v>
      </c>
      <c r="G33" s="12">
        <v>105</v>
      </c>
      <c r="H33" s="8">
        <v>5.97</v>
      </c>
      <c r="I33" s="12">
        <v>0</v>
      </c>
    </row>
    <row r="34" spans="2:9" ht="15" customHeight="1" x14ac:dyDescent="0.2">
      <c r="B34" t="s">
        <v>113</v>
      </c>
      <c r="C34" s="12">
        <v>118</v>
      </c>
      <c r="D34" s="8">
        <v>3.18</v>
      </c>
      <c r="E34" s="12">
        <v>102</v>
      </c>
      <c r="F34" s="8">
        <v>5.28</v>
      </c>
      <c r="G34" s="12">
        <v>16</v>
      </c>
      <c r="H34" s="8">
        <v>0.91</v>
      </c>
      <c r="I34" s="12">
        <v>0</v>
      </c>
    </row>
    <row r="35" spans="2:9" ht="15" customHeight="1" x14ac:dyDescent="0.2">
      <c r="B35" t="s">
        <v>108</v>
      </c>
      <c r="C35" s="12">
        <v>101</v>
      </c>
      <c r="D35" s="8">
        <v>2.72</v>
      </c>
      <c r="E35" s="12">
        <v>68</v>
      </c>
      <c r="F35" s="8">
        <v>3.52</v>
      </c>
      <c r="G35" s="12">
        <v>33</v>
      </c>
      <c r="H35" s="8">
        <v>1.88</v>
      </c>
      <c r="I35" s="12">
        <v>0</v>
      </c>
    </row>
    <row r="36" spans="2:9" ht="15" customHeight="1" x14ac:dyDescent="0.2">
      <c r="B36" t="s">
        <v>102</v>
      </c>
      <c r="C36" s="12">
        <v>94</v>
      </c>
      <c r="D36" s="8">
        <v>2.5299999999999998</v>
      </c>
      <c r="E36" s="12">
        <v>59</v>
      </c>
      <c r="F36" s="8">
        <v>3.05</v>
      </c>
      <c r="G36" s="12">
        <v>35</v>
      </c>
      <c r="H36" s="8">
        <v>1.99</v>
      </c>
      <c r="I36" s="12">
        <v>0</v>
      </c>
    </row>
    <row r="37" spans="2:9" ht="15" customHeight="1" x14ac:dyDescent="0.2">
      <c r="B37" t="s">
        <v>98</v>
      </c>
      <c r="C37" s="12">
        <v>84</v>
      </c>
      <c r="D37" s="8">
        <v>2.2599999999999998</v>
      </c>
      <c r="E37" s="12">
        <v>11</v>
      </c>
      <c r="F37" s="8">
        <v>0.56999999999999995</v>
      </c>
      <c r="G37" s="12">
        <v>73</v>
      </c>
      <c r="H37" s="8">
        <v>4.1500000000000004</v>
      </c>
      <c r="I37" s="12">
        <v>0</v>
      </c>
    </row>
    <row r="38" spans="2:9" ht="15" customHeight="1" x14ac:dyDescent="0.2">
      <c r="B38" t="s">
        <v>109</v>
      </c>
      <c r="C38" s="12">
        <v>78</v>
      </c>
      <c r="D38" s="8">
        <v>2.1</v>
      </c>
      <c r="E38" s="12">
        <v>39</v>
      </c>
      <c r="F38" s="8">
        <v>2.02</v>
      </c>
      <c r="G38" s="12">
        <v>36</v>
      </c>
      <c r="H38" s="8">
        <v>2.0499999999999998</v>
      </c>
      <c r="I38" s="12">
        <v>0</v>
      </c>
    </row>
    <row r="39" spans="2:9" ht="15" customHeight="1" x14ac:dyDescent="0.2">
      <c r="B39" t="s">
        <v>124</v>
      </c>
      <c r="C39" s="12">
        <v>63</v>
      </c>
      <c r="D39" s="8">
        <v>1.7</v>
      </c>
      <c r="E39" s="12">
        <v>18</v>
      </c>
      <c r="F39" s="8">
        <v>0.93</v>
      </c>
      <c r="G39" s="12">
        <v>45</v>
      </c>
      <c r="H39" s="8">
        <v>2.56</v>
      </c>
      <c r="I39" s="12">
        <v>0</v>
      </c>
    </row>
    <row r="40" spans="2:9" ht="15" customHeight="1" x14ac:dyDescent="0.2">
      <c r="B40" t="s">
        <v>97</v>
      </c>
      <c r="C40" s="12">
        <v>62</v>
      </c>
      <c r="D40" s="8">
        <v>1.67</v>
      </c>
      <c r="E40" s="12">
        <v>17</v>
      </c>
      <c r="F40" s="8">
        <v>0.88</v>
      </c>
      <c r="G40" s="12">
        <v>45</v>
      </c>
      <c r="H40" s="8">
        <v>2.56</v>
      </c>
      <c r="I40" s="12">
        <v>0</v>
      </c>
    </row>
    <row r="41" spans="2:9" ht="15" customHeight="1" x14ac:dyDescent="0.2">
      <c r="B41" t="s">
        <v>100</v>
      </c>
      <c r="C41" s="12">
        <v>60</v>
      </c>
      <c r="D41" s="8">
        <v>1.62</v>
      </c>
      <c r="E41" s="12">
        <v>11</v>
      </c>
      <c r="F41" s="8">
        <v>0.56999999999999995</v>
      </c>
      <c r="G41" s="12">
        <v>49</v>
      </c>
      <c r="H41" s="8">
        <v>2.78</v>
      </c>
      <c r="I41" s="12">
        <v>0</v>
      </c>
    </row>
    <row r="42" spans="2:9" ht="15" customHeight="1" x14ac:dyDescent="0.2">
      <c r="B42" t="s">
        <v>106</v>
      </c>
      <c r="C42" s="12">
        <v>55</v>
      </c>
      <c r="D42" s="8">
        <v>1.48</v>
      </c>
      <c r="E42" s="12">
        <v>22</v>
      </c>
      <c r="F42" s="8">
        <v>1.1399999999999999</v>
      </c>
      <c r="G42" s="12">
        <v>33</v>
      </c>
      <c r="H42" s="8">
        <v>1.88</v>
      </c>
      <c r="I42" s="12">
        <v>0</v>
      </c>
    </row>
    <row r="43" spans="2:9" ht="15" customHeight="1" x14ac:dyDescent="0.2">
      <c r="B43" t="s">
        <v>115</v>
      </c>
      <c r="C43" s="12">
        <v>47</v>
      </c>
      <c r="D43" s="8">
        <v>1.27</v>
      </c>
      <c r="E43" s="12">
        <v>22</v>
      </c>
      <c r="F43" s="8">
        <v>1.1399999999999999</v>
      </c>
      <c r="G43" s="12">
        <v>25</v>
      </c>
      <c r="H43" s="8">
        <v>1.42</v>
      </c>
      <c r="I43" s="12">
        <v>0</v>
      </c>
    </row>
    <row r="44" spans="2:9" ht="15" customHeight="1" x14ac:dyDescent="0.2">
      <c r="B44" t="s">
        <v>116</v>
      </c>
      <c r="C44" s="12">
        <v>47</v>
      </c>
      <c r="D44" s="8">
        <v>1.27</v>
      </c>
      <c r="E44" s="12">
        <v>0</v>
      </c>
      <c r="F44" s="8">
        <v>0</v>
      </c>
      <c r="G44" s="12">
        <v>42</v>
      </c>
      <c r="H44" s="8">
        <v>2.39</v>
      </c>
      <c r="I44" s="12">
        <v>0</v>
      </c>
    </row>
    <row r="45" spans="2:9" ht="15" customHeight="1" x14ac:dyDescent="0.2">
      <c r="B45" t="s">
        <v>122</v>
      </c>
      <c r="C45" s="12">
        <v>47</v>
      </c>
      <c r="D45" s="8">
        <v>1.27</v>
      </c>
      <c r="E45" s="12">
        <v>34</v>
      </c>
      <c r="F45" s="8">
        <v>1.76</v>
      </c>
      <c r="G45" s="12">
        <v>13</v>
      </c>
      <c r="H45" s="8">
        <v>0.74</v>
      </c>
      <c r="I45" s="12">
        <v>0</v>
      </c>
    </row>
    <row r="48" spans="2:9" ht="33" customHeight="1" x14ac:dyDescent="0.2">
      <c r="B48" t="s">
        <v>279</v>
      </c>
      <c r="C48" s="10" t="s">
        <v>87</v>
      </c>
      <c r="D48" s="10" t="s">
        <v>88</v>
      </c>
      <c r="E48" s="10" t="s">
        <v>89</v>
      </c>
      <c r="F48" s="10" t="s">
        <v>90</v>
      </c>
      <c r="G48" s="10" t="s">
        <v>91</v>
      </c>
      <c r="H48" s="10" t="s">
        <v>92</v>
      </c>
      <c r="I48" s="10" t="s">
        <v>93</v>
      </c>
    </row>
    <row r="49" spans="2:9" ht="15" customHeight="1" x14ac:dyDescent="0.2">
      <c r="B49" t="s">
        <v>168</v>
      </c>
      <c r="C49" s="12">
        <v>235</v>
      </c>
      <c r="D49" s="8">
        <v>6.33</v>
      </c>
      <c r="E49" s="12">
        <v>221</v>
      </c>
      <c r="F49" s="8">
        <v>11.44</v>
      </c>
      <c r="G49" s="12">
        <v>14</v>
      </c>
      <c r="H49" s="8">
        <v>0.8</v>
      </c>
      <c r="I49" s="12">
        <v>0</v>
      </c>
    </row>
    <row r="50" spans="2:9" ht="15" customHeight="1" x14ac:dyDescent="0.2">
      <c r="B50" t="s">
        <v>170</v>
      </c>
      <c r="C50" s="12">
        <v>133</v>
      </c>
      <c r="D50" s="8">
        <v>3.58</v>
      </c>
      <c r="E50" s="12">
        <v>111</v>
      </c>
      <c r="F50" s="8">
        <v>5.75</v>
      </c>
      <c r="G50" s="12">
        <v>22</v>
      </c>
      <c r="H50" s="8">
        <v>1.25</v>
      </c>
      <c r="I50" s="12">
        <v>0</v>
      </c>
    </row>
    <row r="51" spans="2:9" ht="15" customHeight="1" x14ac:dyDescent="0.2">
      <c r="B51" t="s">
        <v>167</v>
      </c>
      <c r="C51" s="12">
        <v>107</v>
      </c>
      <c r="D51" s="8">
        <v>2.88</v>
      </c>
      <c r="E51" s="12">
        <v>102</v>
      </c>
      <c r="F51" s="8">
        <v>5.28</v>
      </c>
      <c r="G51" s="12">
        <v>5</v>
      </c>
      <c r="H51" s="8">
        <v>0.28000000000000003</v>
      </c>
      <c r="I51" s="12">
        <v>0</v>
      </c>
    </row>
    <row r="52" spans="2:9" ht="15" customHeight="1" x14ac:dyDescent="0.2">
      <c r="B52" t="s">
        <v>156</v>
      </c>
      <c r="C52" s="12">
        <v>105</v>
      </c>
      <c r="D52" s="8">
        <v>2.83</v>
      </c>
      <c r="E52" s="12">
        <v>52</v>
      </c>
      <c r="F52" s="8">
        <v>2.69</v>
      </c>
      <c r="G52" s="12">
        <v>53</v>
      </c>
      <c r="H52" s="8">
        <v>3.01</v>
      </c>
      <c r="I52" s="12">
        <v>0</v>
      </c>
    </row>
    <row r="53" spans="2:9" ht="15" customHeight="1" x14ac:dyDescent="0.2">
      <c r="B53" t="s">
        <v>171</v>
      </c>
      <c r="C53" s="12">
        <v>89</v>
      </c>
      <c r="D53" s="8">
        <v>2.4</v>
      </c>
      <c r="E53" s="12">
        <v>83</v>
      </c>
      <c r="F53" s="8">
        <v>4.3</v>
      </c>
      <c r="G53" s="12">
        <v>6</v>
      </c>
      <c r="H53" s="8">
        <v>0.34</v>
      </c>
      <c r="I53" s="12">
        <v>0</v>
      </c>
    </row>
    <row r="54" spans="2:9" ht="15" customHeight="1" x14ac:dyDescent="0.2">
      <c r="B54" t="s">
        <v>164</v>
      </c>
      <c r="C54" s="12">
        <v>87</v>
      </c>
      <c r="D54" s="8">
        <v>2.34</v>
      </c>
      <c r="E54" s="12">
        <v>76</v>
      </c>
      <c r="F54" s="8">
        <v>3.93</v>
      </c>
      <c r="G54" s="12">
        <v>11</v>
      </c>
      <c r="H54" s="8">
        <v>0.63</v>
      </c>
      <c r="I54" s="12">
        <v>0</v>
      </c>
    </row>
    <row r="55" spans="2:9" ht="15" customHeight="1" x14ac:dyDescent="0.2">
      <c r="B55" t="s">
        <v>165</v>
      </c>
      <c r="C55" s="12">
        <v>83</v>
      </c>
      <c r="D55" s="8">
        <v>2.2400000000000002</v>
      </c>
      <c r="E55" s="12">
        <v>76</v>
      </c>
      <c r="F55" s="8">
        <v>3.93</v>
      </c>
      <c r="G55" s="12">
        <v>7</v>
      </c>
      <c r="H55" s="8">
        <v>0.4</v>
      </c>
      <c r="I55" s="12">
        <v>0</v>
      </c>
    </row>
    <row r="56" spans="2:9" ht="15" customHeight="1" x14ac:dyDescent="0.2">
      <c r="B56" t="s">
        <v>158</v>
      </c>
      <c r="C56" s="12">
        <v>77</v>
      </c>
      <c r="D56" s="8">
        <v>2.0699999999999998</v>
      </c>
      <c r="E56" s="12">
        <v>48</v>
      </c>
      <c r="F56" s="8">
        <v>2.48</v>
      </c>
      <c r="G56" s="12">
        <v>29</v>
      </c>
      <c r="H56" s="8">
        <v>1.65</v>
      </c>
      <c r="I56" s="12">
        <v>0</v>
      </c>
    </row>
    <row r="57" spans="2:9" ht="15" customHeight="1" x14ac:dyDescent="0.2">
      <c r="B57" t="s">
        <v>163</v>
      </c>
      <c r="C57" s="12">
        <v>76</v>
      </c>
      <c r="D57" s="8">
        <v>2.0499999999999998</v>
      </c>
      <c r="E57" s="12">
        <v>61</v>
      </c>
      <c r="F57" s="8">
        <v>3.16</v>
      </c>
      <c r="G57" s="12">
        <v>15</v>
      </c>
      <c r="H57" s="8">
        <v>0.85</v>
      </c>
      <c r="I57" s="12">
        <v>0</v>
      </c>
    </row>
    <row r="58" spans="2:9" ht="15" customHeight="1" x14ac:dyDescent="0.2">
      <c r="B58" t="s">
        <v>161</v>
      </c>
      <c r="C58" s="12">
        <v>74</v>
      </c>
      <c r="D58" s="8">
        <v>1.99</v>
      </c>
      <c r="E58" s="12">
        <v>25</v>
      </c>
      <c r="F58" s="8">
        <v>1.29</v>
      </c>
      <c r="G58" s="12">
        <v>48</v>
      </c>
      <c r="H58" s="8">
        <v>2.73</v>
      </c>
      <c r="I58" s="12">
        <v>1</v>
      </c>
    </row>
    <row r="59" spans="2:9" ht="15" customHeight="1" x14ac:dyDescent="0.2">
      <c r="B59" t="s">
        <v>157</v>
      </c>
      <c r="C59" s="12">
        <v>73</v>
      </c>
      <c r="D59" s="8">
        <v>1.97</v>
      </c>
      <c r="E59" s="12">
        <v>38</v>
      </c>
      <c r="F59" s="8">
        <v>1.97</v>
      </c>
      <c r="G59" s="12">
        <v>35</v>
      </c>
      <c r="H59" s="8">
        <v>1.99</v>
      </c>
      <c r="I59" s="12">
        <v>0</v>
      </c>
    </row>
    <row r="60" spans="2:9" ht="15" customHeight="1" x14ac:dyDescent="0.2">
      <c r="B60" t="s">
        <v>153</v>
      </c>
      <c r="C60" s="12">
        <v>65</v>
      </c>
      <c r="D60" s="8">
        <v>1.75</v>
      </c>
      <c r="E60" s="12">
        <v>6</v>
      </c>
      <c r="F60" s="8">
        <v>0.31</v>
      </c>
      <c r="G60" s="12">
        <v>59</v>
      </c>
      <c r="H60" s="8">
        <v>3.35</v>
      </c>
      <c r="I60" s="12">
        <v>0</v>
      </c>
    </row>
    <row r="61" spans="2:9" ht="15" customHeight="1" x14ac:dyDescent="0.2">
      <c r="B61" t="s">
        <v>166</v>
      </c>
      <c r="C61" s="12">
        <v>63</v>
      </c>
      <c r="D61" s="8">
        <v>1.7</v>
      </c>
      <c r="E61" s="12">
        <v>47</v>
      </c>
      <c r="F61" s="8">
        <v>2.4300000000000002</v>
      </c>
      <c r="G61" s="12">
        <v>16</v>
      </c>
      <c r="H61" s="8">
        <v>0.91</v>
      </c>
      <c r="I61" s="12">
        <v>0</v>
      </c>
    </row>
    <row r="62" spans="2:9" ht="15" customHeight="1" x14ac:dyDescent="0.2">
      <c r="B62" t="s">
        <v>154</v>
      </c>
      <c r="C62" s="12">
        <v>62</v>
      </c>
      <c r="D62" s="8">
        <v>1.67</v>
      </c>
      <c r="E62" s="12">
        <v>16</v>
      </c>
      <c r="F62" s="8">
        <v>0.83</v>
      </c>
      <c r="G62" s="12">
        <v>46</v>
      </c>
      <c r="H62" s="8">
        <v>2.61</v>
      </c>
      <c r="I62" s="12">
        <v>0</v>
      </c>
    </row>
    <row r="63" spans="2:9" ht="15" customHeight="1" x14ac:dyDescent="0.2">
      <c r="B63" t="s">
        <v>152</v>
      </c>
      <c r="C63" s="12">
        <v>61</v>
      </c>
      <c r="D63" s="8">
        <v>1.64</v>
      </c>
      <c r="E63" s="12">
        <v>10</v>
      </c>
      <c r="F63" s="8">
        <v>0.52</v>
      </c>
      <c r="G63" s="12">
        <v>51</v>
      </c>
      <c r="H63" s="8">
        <v>2.9</v>
      </c>
      <c r="I63" s="12">
        <v>0</v>
      </c>
    </row>
    <row r="64" spans="2:9" ht="15" customHeight="1" x14ac:dyDescent="0.2">
      <c r="B64" t="s">
        <v>205</v>
      </c>
      <c r="C64" s="12">
        <v>61</v>
      </c>
      <c r="D64" s="8">
        <v>1.64</v>
      </c>
      <c r="E64" s="12">
        <v>24</v>
      </c>
      <c r="F64" s="8">
        <v>1.24</v>
      </c>
      <c r="G64" s="12">
        <v>37</v>
      </c>
      <c r="H64" s="8">
        <v>2.1</v>
      </c>
      <c r="I64" s="12">
        <v>0</v>
      </c>
    </row>
    <row r="65" spans="2:9" ht="15" customHeight="1" x14ac:dyDescent="0.2">
      <c r="B65" t="s">
        <v>210</v>
      </c>
      <c r="C65" s="12">
        <v>56</v>
      </c>
      <c r="D65" s="8">
        <v>1.51</v>
      </c>
      <c r="E65" s="12">
        <v>38</v>
      </c>
      <c r="F65" s="8">
        <v>1.97</v>
      </c>
      <c r="G65" s="12">
        <v>17</v>
      </c>
      <c r="H65" s="8">
        <v>0.97</v>
      </c>
      <c r="I65" s="12">
        <v>1</v>
      </c>
    </row>
    <row r="66" spans="2:9" ht="15" customHeight="1" x14ac:dyDescent="0.2">
      <c r="B66" t="s">
        <v>186</v>
      </c>
      <c r="C66" s="12">
        <v>54</v>
      </c>
      <c r="D66" s="8">
        <v>1.45</v>
      </c>
      <c r="E66" s="12">
        <v>37</v>
      </c>
      <c r="F66" s="8">
        <v>1.92</v>
      </c>
      <c r="G66" s="12">
        <v>15</v>
      </c>
      <c r="H66" s="8">
        <v>0.85</v>
      </c>
      <c r="I66" s="12">
        <v>2</v>
      </c>
    </row>
    <row r="67" spans="2:9" ht="15" customHeight="1" x14ac:dyDescent="0.2">
      <c r="B67" t="s">
        <v>155</v>
      </c>
      <c r="C67" s="12">
        <v>52</v>
      </c>
      <c r="D67" s="8">
        <v>1.4</v>
      </c>
      <c r="E67" s="12">
        <v>14</v>
      </c>
      <c r="F67" s="8">
        <v>0.72</v>
      </c>
      <c r="G67" s="12">
        <v>38</v>
      </c>
      <c r="H67" s="8">
        <v>2.16</v>
      </c>
      <c r="I67" s="12">
        <v>0</v>
      </c>
    </row>
    <row r="68" spans="2:9" ht="15" customHeight="1" x14ac:dyDescent="0.2">
      <c r="B68" t="s">
        <v>202</v>
      </c>
      <c r="C68" s="12">
        <v>49</v>
      </c>
      <c r="D68" s="8">
        <v>1.32</v>
      </c>
      <c r="E68" s="12">
        <v>13</v>
      </c>
      <c r="F68" s="8">
        <v>0.67</v>
      </c>
      <c r="G68" s="12">
        <v>36</v>
      </c>
      <c r="H68" s="8">
        <v>2.0499999999999998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C2D6-9679-42AE-9E72-AC3674EE06F2}">
  <sheetPr>
    <pageSetUpPr fitToPage="1"/>
  </sheetPr>
  <dimension ref="A1:I160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150</v>
      </c>
      <c r="B1" s="3" t="s">
        <v>151</v>
      </c>
      <c r="C1" s="7" t="s">
        <v>87</v>
      </c>
      <c r="D1" s="7" t="s">
        <v>88</v>
      </c>
      <c r="E1" s="7" t="s">
        <v>89</v>
      </c>
      <c r="F1" s="7" t="s">
        <v>90</v>
      </c>
      <c r="G1" s="7" t="s">
        <v>91</v>
      </c>
      <c r="H1" s="7" t="s">
        <v>92</v>
      </c>
      <c r="I1" s="7" t="s">
        <v>93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110</v>
      </c>
      <c r="C3" s="4">
        <v>16699</v>
      </c>
      <c r="D3" s="8">
        <v>10.06</v>
      </c>
      <c r="E3" s="4">
        <v>13811</v>
      </c>
      <c r="F3" s="8">
        <v>18.57</v>
      </c>
      <c r="G3" s="4">
        <v>2882</v>
      </c>
      <c r="H3" s="8">
        <v>3.17</v>
      </c>
      <c r="I3" s="4">
        <v>6</v>
      </c>
    </row>
    <row r="4" spans="1:9" x14ac:dyDescent="0.2">
      <c r="A4" s="2">
        <v>2</v>
      </c>
      <c r="B4" s="1" t="s">
        <v>111</v>
      </c>
      <c r="C4" s="4">
        <v>14712</v>
      </c>
      <c r="D4" s="8">
        <v>8.86</v>
      </c>
      <c r="E4" s="4">
        <v>11881</v>
      </c>
      <c r="F4" s="8">
        <v>15.98</v>
      </c>
      <c r="G4" s="4">
        <v>2830</v>
      </c>
      <c r="H4" s="8">
        <v>3.11</v>
      </c>
      <c r="I4" s="4">
        <v>1</v>
      </c>
    </row>
    <row r="5" spans="1:9" x14ac:dyDescent="0.2">
      <c r="A5" s="2">
        <v>3</v>
      </c>
      <c r="B5" s="1" t="s">
        <v>107</v>
      </c>
      <c r="C5" s="4">
        <v>12762</v>
      </c>
      <c r="D5" s="8">
        <v>7.68</v>
      </c>
      <c r="E5" s="4">
        <v>3846</v>
      </c>
      <c r="F5" s="8">
        <v>5.17</v>
      </c>
      <c r="G5" s="4">
        <v>8891</v>
      </c>
      <c r="H5" s="8">
        <v>9.7799999999999994</v>
      </c>
      <c r="I5" s="4">
        <v>18</v>
      </c>
    </row>
    <row r="6" spans="1:9" x14ac:dyDescent="0.2">
      <c r="A6" s="2">
        <v>4</v>
      </c>
      <c r="B6" s="1" t="s">
        <v>105</v>
      </c>
      <c r="C6" s="4">
        <v>8789</v>
      </c>
      <c r="D6" s="8">
        <v>5.29</v>
      </c>
      <c r="E6" s="4">
        <v>4456</v>
      </c>
      <c r="F6" s="8">
        <v>5.99</v>
      </c>
      <c r="G6" s="4">
        <v>4330</v>
      </c>
      <c r="H6" s="8">
        <v>4.76</v>
      </c>
      <c r="I6" s="4">
        <v>3</v>
      </c>
    </row>
    <row r="7" spans="1:9" x14ac:dyDescent="0.2">
      <c r="A7" s="2">
        <v>5</v>
      </c>
      <c r="B7" s="1" t="s">
        <v>94</v>
      </c>
      <c r="C7" s="4">
        <v>8029</v>
      </c>
      <c r="D7" s="8">
        <v>4.83</v>
      </c>
      <c r="E7" s="4">
        <v>1533</v>
      </c>
      <c r="F7" s="8">
        <v>2.06</v>
      </c>
      <c r="G7" s="4">
        <v>6494</v>
      </c>
      <c r="H7" s="8">
        <v>7.14</v>
      </c>
      <c r="I7" s="4">
        <v>2</v>
      </c>
    </row>
    <row r="8" spans="1:9" x14ac:dyDescent="0.2">
      <c r="A8" s="2">
        <v>6</v>
      </c>
      <c r="B8" s="1" t="s">
        <v>95</v>
      </c>
      <c r="C8" s="4">
        <v>7312</v>
      </c>
      <c r="D8" s="8">
        <v>4.4000000000000004</v>
      </c>
      <c r="E8" s="4">
        <v>2235</v>
      </c>
      <c r="F8" s="8">
        <v>3.01</v>
      </c>
      <c r="G8" s="4">
        <v>5074</v>
      </c>
      <c r="H8" s="8">
        <v>5.58</v>
      </c>
      <c r="I8" s="4">
        <v>3</v>
      </c>
    </row>
    <row r="9" spans="1:9" x14ac:dyDescent="0.2">
      <c r="A9" s="2">
        <v>7</v>
      </c>
      <c r="B9" s="1" t="s">
        <v>112</v>
      </c>
      <c r="C9" s="4">
        <v>7194</v>
      </c>
      <c r="D9" s="8">
        <v>4.33</v>
      </c>
      <c r="E9" s="4">
        <v>4986</v>
      </c>
      <c r="F9" s="8">
        <v>6.71</v>
      </c>
      <c r="G9" s="4">
        <v>2016</v>
      </c>
      <c r="H9" s="8">
        <v>2.2200000000000002</v>
      </c>
      <c r="I9" s="4">
        <v>44</v>
      </c>
    </row>
    <row r="10" spans="1:9" x14ac:dyDescent="0.2">
      <c r="A10" s="2">
        <v>8</v>
      </c>
      <c r="B10" s="1" t="s">
        <v>108</v>
      </c>
      <c r="C10" s="4">
        <v>6307</v>
      </c>
      <c r="D10" s="8">
        <v>3.8</v>
      </c>
      <c r="E10" s="4">
        <v>3864</v>
      </c>
      <c r="F10" s="8">
        <v>5.2</v>
      </c>
      <c r="G10" s="4">
        <v>2431</v>
      </c>
      <c r="H10" s="8">
        <v>2.67</v>
      </c>
      <c r="I10" s="4">
        <v>12</v>
      </c>
    </row>
    <row r="11" spans="1:9" x14ac:dyDescent="0.2">
      <c r="A11" s="2">
        <v>9</v>
      </c>
      <c r="B11" s="1" t="s">
        <v>96</v>
      </c>
      <c r="C11" s="4">
        <v>6283</v>
      </c>
      <c r="D11" s="8">
        <v>3.78</v>
      </c>
      <c r="E11" s="4">
        <v>1111</v>
      </c>
      <c r="F11" s="8">
        <v>1.49</v>
      </c>
      <c r="G11" s="4">
        <v>5171</v>
      </c>
      <c r="H11" s="8">
        <v>5.69</v>
      </c>
      <c r="I11" s="4">
        <v>1</v>
      </c>
    </row>
    <row r="12" spans="1:9" x14ac:dyDescent="0.2">
      <c r="A12" s="2">
        <v>10</v>
      </c>
      <c r="B12" s="1" t="s">
        <v>113</v>
      </c>
      <c r="C12" s="4">
        <v>5620</v>
      </c>
      <c r="D12" s="8">
        <v>3.38</v>
      </c>
      <c r="E12" s="4">
        <v>4845</v>
      </c>
      <c r="F12" s="8">
        <v>6.52</v>
      </c>
      <c r="G12" s="4">
        <v>775</v>
      </c>
      <c r="H12" s="8">
        <v>0.85</v>
      </c>
      <c r="I12" s="4">
        <v>0</v>
      </c>
    </row>
    <row r="13" spans="1:9" x14ac:dyDescent="0.2">
      <c r="A13" s="2">
        <v>11</v>
      </c>
      <c r="B13" s="1" t="s">
        <v>104</v>
      </c>
      <c r="C13" s="4">
        <v>4946</v>
      </c>
      <c r="D13" s="8">
        <v>2.98</v>
      </c>
      <c r="E13" s="4">
        <v>2499</v>
      </c>
      <c r="F13" s="8">
        <v>3.36</v>
      </c>
      <c r="G13" s="4">
        <v>2447</v>
      </c>
      <c r="H13" s="8">
        <v>2.69</v>
      </c>
      <c r="I13" s="4">
        <v>0</v>
      </c>
    </row>
    <row r="14" spans="1:9" x14ac:dyDescent="0.2">
      <c r="A14" s="2">
        <v>12</v>
      </c>
      <c r="B14" s="1" t="s">
        <v>103</v>
      </c>
      <c r="C14" s="4">
        <v>4887</v>
      </c>
      <c r="D14" s="8">
        <v>2.94</v>
      </c>
      <c r="E14" s="4">
        <v>3062</v>
      </c>
      <c r="F14" s="8">
        <v>4.12</v>
      </c>
      <c r="G14" s="4">
        <v>1813</v>
      </c>
      <c r="H14" s="8">
        <v>1.99</v>
      </c>
      <c r="I14" s="4">
        <v>12</v>
      </c>
    </row>
    <row r="15" spans="1:9" x14ac:dyDescent="0.2">
      <c r="A15" s="2">
        <v>13</v>
      </c>
      <c r="B15" s="1" t="s">
        <v>102</v>
      </c>
      <c r="C15" s="4">
        <v>3708</v>
      </c>
      <c r="D15" s="8">
        <v>2.23</v>
      </c>
      <c r="E15" s="4">
        <v>1627</v>
      </c>
      <c r="F15" s="8">
        <v>2.19</v>
      </c>
      <c r="G15" s="4">
        <v>2080</v>
      </c>
      <c r="H15" s="8">
        <v>2.29</v>
      </c>
      <c r="I15" s="4">
        <v>1</v>
      </c>
    </row>
    <row r="16" spans="1:9" x14ac:dyDescent="0.2">
      <c r="A16" s="2">
        <v>14</v>
      </c>
      <c r="B16" s="1" t="s">
        <v>109</v>
      </c>
      <c r="C16" s="4">
        <v>3485</v>
      </c>
      <c r="D16" s="8">
        <v>2.1</v>
      </c>
      <c r="E16" s="4">
        <v>1428</v>
      </c>
      <c r="F16" s="8">
        <v>1.92</v>
      </c>
      <c r="G16" s="4">
        <v>2040</v>
      </c>
      <c r="H16" s="8">
        <v>2.2400000000000002</v>
      </c>
      <c r="I16" s="4">
        <v>1</v>
      </c>
    </row>
    <row r="17" spans="1:9" x14ac:dyDescent="0.2">
      <c r="A17" s="2">
        <v>15</v>
      </c>
      <c r="B17" s="1" t="s">
        <v>100</v>
      </c>
      <c r="C17" s="4">
        <v>3184</v>
      </c>
      <c r="D17" s="8">
        <v>1.92</v>
      </c>
      <c r="E17" s="4">
        <v>324</v>
      </c>
      <c r="F17" s="8">
        <v>0.44</v>
      </c>
      <c r="G17" s="4">
        <v>2860</v>
      </c>
      <c r="H17" s="8">
        <v>3.15</v>
      </c>
      <c r="I17" s="4">
        <v>0</v>
      </c>
    </row>
    <row r="18" spans="1:9" x14ac:dyDescent="0.2">
      <c r="A18" s="2">
        <v>16</v>
      </c>
      <c r="B18" s="1" t="s">
        <v>97</v>
      </c>
      <c r="C18" s="4">
        <v>3014</v>
      </c>
      <c r="D18" s="8">
        <v>1.81</v>
      </c>
      <c r="E18" s="4">
        <v>835</v>
      </c>
      <c r="F18" s="8">
        <v>1.1200000000000001</v>
      </c>
      <c r="G18" s="4">
        <v>2179</v>
      </c>
      <c r="H18" s="8">
        <v>2.4</v>
      </c>
      <c r="I18" s="4">
        <v>0</v>
      </c>
    </row>
    <row r="19" spans="1:9" x14ac:dyDescent="0.2">
      <c r="A19" s="2">
        <v>17</v>
      </c>
      <c r="B19" s="1" t="s">
        <v>98</v>
      </c>
      <c r="C19" s="4">
        <v>2870</v>
      </c>
      <c r="D19" s="8">
        <v>1.73</v>
      </c>
      <c r="E19" s="4">
        <v>567</v>
      </c>
      <c r="F19" s="8">
        <v>0.76</v>
      </c>
      <c r="G19" s="4">
        <v>2303</v>
      </c>
      <c r="H19" s="8">
        <v>2.5299999999999998</v>
      </c>
      <c r="I19" s="4">
        <v>0</v>
      </c>
    </row>
    <row r="20" spans="1:9" x14ac:dyDescent="0.2">
      <c r="A20" s="2">
        <v>18</v>
      </c>
      <c r="B20" s="1" t="s">
        <v>101</v>
      </c>
      <c r="C20" s="4">
        <v>2834</v>
      </c>
      <c r="D20" s="8">
        <v>1.71</v>
      </c>
      <c r="E20" s="4">
        <v>541</v>
      </c>
      <c r="F20" s="8">
        <v>0.73</v>
      </c>
      <c r="G20" s="4">
        <v>2292</v>
      </c>
      <c r="H20" s="8">
        <v>2.52</v>
      </c>
      <c r="I20" s="4">
        <v>1</v>
      </c>
    </row>
    <row r="21" spans="1:9" x14ac:dyDescent="0.2">
      <c r="A21" s="2">
        <v>19</v>
      </c>
      <c r="B21" s="1" t="s">
        <v>99</v>
      </c>
      <c r="C21" s="4">
        <v>2762</v>
      </c>
      <c r="D21" s="8">
        <v>1.66</v>
      </c>
      <c r="E21" s="4">
        <v>372</v>
      </c>
      <c r="F21" s="8">
        <v>0.5</v>
      </c>
      <c r="G21" s="4">
        <v>2390</v>
      </c>
      <c r="H21" s="8">
        <v>2.63</v>
      </c>
      <c r="I21" s="4">
        <v>0</v>
      </c>
    </row>
    <row r="22" spans="1:9" x14ac:dyDescent="0.2">
      <c r="A22" s="2">
        <v>20</v>
      </c>
      <c r="B22" s="1" t="s">
        <v>106</v>
      </c>
      <c r="C22" s="4">
        <v>2604</v>
      </c>
      <c r="D22" s="8">
        <v>1.57</v>
      </c>
      <c r="E22" s="4">
        <v>478</v>
      </c>
      <c r="F22" s="8">
        <v>0.64</v>
      </c>
      <c r="G22" s="4">
        <v>2125</v>
      </c>
      <c r="H22" s="8">
        <v>2.34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110</v>
      </c>
      <c r="C25" s="4">
        <v>7135</v>
      </c>
      <c r="D25" s="8">
        <v>11.35</v>
      </c>
      <c r="E25" s="4">
        <v>5689</v>
      </c>
      <c r="F25" s="8">
        <v>24.21</v>
      </c>
      <c r="G25" s="4">
        <v>1446</v>
      </c>
      <c r="H25" s="8">
        <v>3.68</v>
      </c>
      <c r="I25" s="4">
        <v>0</v>
      </c>
    </row>
    <row r="26" spans="1:9" x14ac:dyDescent="0.2">
      <c r="A26" s="2">
        <v>2</v>
      </c>
      <c r="B26" s="1" t="s">
        <v>107</v>
      </c>
      <c r="C26" s="4">
        <v>5810</v>
      </c>
      <c r="D26" s="8">
        <v>9.24</v>
      </c>
      <c r="E26" s="4">
        <v>1051</v>
      </c>
      <c r="F26" s="8">
        <v>4.47</v>
      </c>
      <c r="G26" s="4">
        <v>4745</v>
      </c>
      <c r="H26" s="8">
        <v>12.08</v>
      </c>
      <c r="I26" s="4">
        <v>12</v>
      </c>
    </row>
    <row r="27" spans="1:9" x14ac:dyDescent="0.2">
      <c r="A27" s="2">
        <v>3</v>
      </c>
      <c r="B27" s="1" t="s">
        <v>111</v>
      </c>
      <c r="C27" s="4">
        <v>4875</v>
      </c>
      <c r="D27" s="8">
        <v>7.75</v>
      </c>
      <c r="E27" s="4">
        <v>3655</v>
      </c>
      <c r="F27" s="8">
        <v>15.55</v>
      </c>
      <c r="G27" s="4">
        <v>1220</v>
      </c>
      <c r="H27" s="8">
        <v>3.11</v>
      </c>
      <c r="I27" s="4">
        <v>0</v>
      </c>
    </row>
    <row r="28" spans="1:9" x14ac:dyDescent="0.2">
      <c r="A28" s="2">
        <v>4</v>
      </c>
      <c r="B28" s="1" t="s">
        <v>108</v>
      </c>
      <c r="C28" s="4">
        <v>3486</v>
      </c>
      <c r="D28" s="8">
        <v>5.54</v>
      </c>
      <c r="E28" s="4">
        <v>2034</v>
      </c>
      <c r="F28" s="8">
        <v>8.66</v>
      </c>
      <c r="G28" s="4">
        <v>1446</v>
      </c>
      <c r="H28" s="8">
        <v>3.68</v>
      </c>
      <c r="I28" s="4">
        <v>6</v>
      </c>
    </row>
    <row r="29" spans="1:9" x14ac:dyDescent="0.2">
      <c r="A29" s="2">
        <v>5</v>
      </c>
      <c r="B29" s="1" t="s">
        <v>105</v>
      </c>
      <c r="C29" s="4">
        <v>2996</v>
      </c>
      <c r="D29" s="8">
        <v>4.76</v>
      </c>
      <c r="E29" s="4">
        <v>1362</v>
      </c>
      <c r="F29" s="8">
        <v>5.8</v>
      </c>
      <c r="G29" s="4">
        <v>1633</v>
      </c>
      <c r="H29" s="8">
        <v>4.16</v>
      </c>
      <c r="I29" s="4">
        <v>1</v>
      </c>
    </row>
    <row r="30" spans="1:9" x14ac:dyDescent="0.2">
      <c r="A30" s="2">
        <v>6</v>
      </c>
      <c r="B30" s="1" t="s">
        <v>112</v>
      </c>
      <c r="C30" s="4">
        <v>2324</v>
      </c>
      <c r="D30" s="8">
        <v>3.7</v>
      </c>
      <c r="E30" s="4">
        <v>1433</v>
      </c>
      <c r="F30" s="8">
        <v>6.1</v>
      </c>
      <c r="G30" s="4">
        <v>873</v>
      </c>
      <c r="H30" s="8">
        <v>2.2200000000000002</v>
      </c>
      <c r="I30" s="4">
        <v>12</v>
      </c>
    </row>
    <row r="31" spans="1:9" x14ac:dyDescent="0.2">
      <c r="A31" s="2">
        <v>7</v>
      </c>
      <c r="B31" s="1" t="s">
        <v>96</v>
      </c>
      <c r="C31" s="4">
        <v>2220</v>
      </c>
      <c r="D31" s="8">
        <v>3.53</v>
      </c>
      <c r="E31" s="4">
        <v>220</v>
      </c>
      <c r="F31" s="8">
        <v>0.94</v>
      </c>
      <c r="G31" s="4">
        <v>2000</v>
      </c>
      <c r="H31" s="8">
        <v>5.09</v>
      </c>
      <c r="I31" s="4">
        <v>0</v>
      </c>
    </row>
    <row r="32" spans="1:9" x14ac:dyDescent="0.2">
      <c r="A32" s="2">
        <v>8</v>
      </c>
      <c r="B32" s="1" t="s">
        <v>95</v>
      </c>
      <c r="C32" s="4">
        <v>2212</v>
      </c>
      <c r="D32" s="8">
        <v>3.52</v>
      </c>
      <c r="E32" s="4">
        <v>307</v>
      </c>
      <c r="F32" s="8">
        <v>1.31</v>
      </c>
      <c r="G32" s="4">
        <v>1903</v>
      </c>
      <c r="H32" s="8">
        <v>4.84</v>
      </c>
      <c r="I32" s="4">
        <v>2</v>
      </c>
    </row>
    <row r="33" spans="1:9" x14ac:dyDescent="0.2">
      <c r="A33" s="2">
        <v>9</v>
      </c>
      <c r="B33" s="1" t="s">
        <v>113</v>
      </c>
      <c r="C33" s="4">
        <v>2151</v>
      </c>
      <c r="D33" s="8">
        <v>3.42</v>
      </c>
      <c r="E33" s="4">
        <v>1786</v>
      </c>
      <c r="F33" s="8">
        <v>7.6</v>
      </c>
      <c r="G33" s="4">
        <v>365</v>
      </c>
      <c r="H33" s="8">
        <v>0.93</v>
      </c>
      <c r="I33" s="4">
        <v>0</v>
      </c>
    </row>
    <row r="34" spans="1:9" x14ac:dyDescent="0.2">
      <c r="A34" s="2">
        <v>10</v>
      </c>
      <c r="B34" s="1" t="s">
        <v>94</v>
      </c>
      <c r="C34" s="4">
        <v>2067</v>
      </c>
      <c r="D34" s="8">
        <v>3.29</v>
      </c>
      <c r="E34" s="4">
        <v>191</v>
      </c>
      <c r="F34" s="8">
        <v>0.81</v>
      </c>
      <c r="G34" s="4">
        <v>1876</v>
      </c>
      <c r="H34" s="8">
        <v>4.78</v>
      </c>
      <c r="I34" s="4">
        <v>0</v>
      </c>
    </row>
    <row r="35" spans="1:9" x14ac:dyDescent="0.2">
      <c r="A35" s="2">
        <v>11</v>
      </c>
      <c r="B35" s="1" t="s">
        <v>100</v>
      </c>
      <c r="C35" s="4">
        <v>1731</v>
      </c>
      <c r="D35" s="8">
        <v>2.75</v>
      </c>
      <c r="E35" s="4">
        <v>112</v>
      </c>
      <c r="F35" s="8">
        <v>0.48</v>
      </c>
      <c r="G35" s="4">
        <v>1619</v>
      </c>
      <c r="H35" s="8">
        <v>4.12</v>
      </c>
      <c r="I35" s="4">
        <v>0</v>
      </c>
    </row>
    <row r="36" spans="1:9" x14ac:dyDescent="0.2">
      <c r="A36" s="2">
        <v>12</v>
      </c>
      <c r="B36" s="1" t="s">
        <v>103</v>
      </c>
      <c r="C36" s="4">
        <v>1546</v>
      </c>
      <c r="D36" s="8">
        <v>2.46</v>
      </c>
      <c r="E36" s="4">
        <v>860</v>
      </c>
      <c r="F36" s="8">
        <v>3.66</v>
      </c>
      <c r="G36" s="4">
        <v>683</v>
      </c>
      <c r="H36" s="8">
        <v>1.74</v>
      </c>
      <c r="I36" s="4">
        <v>3</v>
      </c>
    </row>
    <row r="37" spans="1:9" x14ac:dyDescent="0.2">
      <c r="A37" s="2">
        <v>13</v>
      </c>
      <c r="B37" s="1" t="s">
        <v>102</v>
      </c>
      <c r="C37" s="4">
        <v>1509</v>
      </c>
      <c r="D37" s="8">
        <v>2.4</v>
      </c>
      <c r="E37" s="4">
        <v>497</v>
      </c>
      <c r="F37" s="8">
        <v>2.11</v>
      </c>
      <c r="G37" s="4">
        <v>1012</v>
      </c>
      <c r="H37" s="8">
        <v>2.58</v>
      </c>
      <c r="I37" s="4">
        <v>0</v>
      </c>
    </row>
    <row r="38" spans="1:9" x14ac:dyDescent="0.2">
      <c r="A38" s="2">
        <v>14</v>
      </c>
      <c r="B38" s="1" t="s">
        <v>109</v>
      </c>
      <c r="C38" s="4">
        <v>1414</v>
      </c>
      <c r="D38" s="8">
        <v>2.25</v>
      </c>
      <c r="E38" s="4">
        <v>460</v>
      </c>
      <c r="F38" s="8">
        <v>1.96</v>
      </c>
      <c r="G38" s="4">
        <v>951</v>
      </c>
      <c r="H38" s="8">
        <v>2.42</v>
      </c>
      <c r="I38" s="4">
        <v>1</v>
      </c>
    </row>
    <row r="39" spans="1:9" x14ac:dyDescent="0.2">
      <c r="A39" s="2">
        <v>15</v>
      </c>
      <c r="B39" s="1" t="s">
        <v>101</v>
      </c>
      <c r="C39" s="4">
        <v>1402</v>
      </c>
      <c r="D39" s="8">
        <v>2.23</v>
      </c>
      <c r="E39" s="4">
        <v>165</v>
      </c>
      <c r="F39" s="8">
        <v>0.7</v>
      </c>
      <c r="G39" s="4">
        <v>1237</v>
      </c>
      <c r="H39" s="8">
        <v>3.15</v>
      </c>
      <c r="I39" s="4">
        <v>0</v>
      </c>
    </row>
    <row r="40" spans="1:9" x14ac:dyDescent="0.2">
      <c r="A40" s="2">
        <v>16</v>
      </c>
      <c r="B40" s="1" t="s">
        <v>99</v>
      </c>
      <c r="C40" s="4">
        <v>1337</v>
      </c>
      <c r="D40" s="8">
        <v>2.13</v>
      </c>
      <c r="E40" s="4">
        <v>96</v>
      </c>
      <c r="F40" s="8">
        <v>0.41</v>
      </c>
      <c r="G40" s="4">
        <v>1241</v>
      </c>
      <c r="H40" s="8">
        <v>3.16</v>
      </c>
      <c r="I40" s="4">
        <v>0</v>
      </c>
    </row>
    <row r="41" spans="1:9" x14ac:dyDescent="0.2">
      <c r="A41" s="2">
        <v>17</v>
      </c>
      <c r="B41" s="1" t="s">
        <v>104</v>
      </c>
      <c r="C41" s="4">
        <v>1272</v>
      </c>
      <c r="D41" s="8">
        <v>2.02</v>
      </c>
      <c r="E41" s="4">
        <v>520</v>
      </c>
      <c r="F41" s="8">
        <v>2.21</v>
      </c>
      <c r="G41" s="4">
        <v>752</v>
      </c>
      <c r="H41" s="8">
        <v>1.91</v>
      </c>
      <c r="I41" s="4">
        <v>0</v>
      </c>
    </row>
    <row r="42" spans="1:9" x14ac:dyDescent="0.2">
      <c r="A42" s="2">
        <v>18</v>
      </c>
      <c r="B42" s="1" t="s">
        <v>106</v>
      </c>
      <c r="C42" s="4">
        <v>1189</v>
      </c>
      <c r="D42" s="8">
        <v>1.89</v>
      </c>
      <c r="E42" s="4">
        <v>124</v>
      </c>
      <c r="F42" s="8">
        <v>0.53</v>
      </c>
      <c r="G42" s="4">
        <v>1065</v>
      </c>
      <c r="H42" s="8">
        <v>2.71</v>
      </c>
      <c r="I42" s="4">
        <v>0</v>
      </c>
    </row>
    <row r="43" spans="1:9" x14ac:dyDescent="0.2">
      <c r="A43" s="2">
        <v>19</v>
      </c>
      <c r="B43" s="1" t="s">
        <v>114</v>
      </c>
      <c r="C43" s="4">
        <v>1043</v>
      </c>
      <c r="D43" s="8">
        <v>1.66</v>
      </c>
      <c r="E43" s="4">
        <v>85</v>
      </c>
      <c r="F43" s="8">
        <v>0.36</v>
      </c>
      <c r="G43" s="4">
        <v>941</v>
      </c>
      <c r="H43" s="8">
        <v>2.4</v>
      </c>
      <c r="I43" s="4">
        <v>14</v>
      </c>
    </row>
    <row r="44" spans="1:9" x14ac:dyDescent="0.2">
      <c r="A44" s="2">
        <v>20</v>
      </c>
      <c r="B44" s="1" t="s">
        <v>97</v>
      </c>
      <c r="C44" s="4">
        <v>1042</v>
      </c>
      <c r="D44" s="8">
        <v>1.66</v>
      </c>
      <c r="E44" s="4">
        <v>249</v>
      </c>
      <c r="F44" s="8">
        <v>1.06</v>
      </c>
      <c r="G44" s="4">
        <v>793</v>
      </c>
      <c r="H44" s="8">
        <v>2.02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107</v>
      </c>
      <c r="C47" s="4">
        <v>607</v>
      </c>
      <c r="D47" s="8">
        <v>14</v>
      </c>
      <c r="E47" s="4">
        <v>134</v>
      </c>
      <c r="F47" s="8">
        <v>7.7</v>
      </c>
      <c r="G47" s="4">
        <v>472</v>
      </c>
      <c r="H47" s="8">
        <v>18.22</v>
      </c>
      <c r="I47" s="4">
        <v>1</v>
      </c>
    </row>
    <row r="48" spans="1:9" x14ac:dyDescent="0.2">
      <c r="A48" s="2">
        <v>2</v>
      </c>
      <c r="B48" s="1" t="s">
        <v>110</v>
      </c>
      <c r="C48" s="4">
        <v>540</v>
      </c>
      <c r="D48" s="8">
        <v>12.45</v>
      </c>
      <c r="E48" s="4">
        <v>420</v>
      </c>
      <c r="F48" s="8">
        <v>24.12</v>
      </c>
      <c r="G48" s="4">
        <v>120</v>
      </c>
      <c r="H48" s="8">
        <v>4.63</v>
      </c>
      <c r="I48" s="4">
        <v>0</v>
      </c>
    </row>
    <row r="49" spans="1:9" x14ac:dyDescent="0.2">
      <c r="A49" s="2">
        <v>3</v>
      </c>
      <c r="B49" s="1" t="s">
        <v>111</v>
      </c>
      <c r="C49" s="4">
        <v>392</v>
      </c>
      <c r="D49" s="8">
        <v>9.0399999999999991</v>
      </c>
      <c r="E49" s="4">
        <v>287</v>
      </c>
      <c r="F49" s="8">
        <v>16.48</v>
      </c>
      <c r="G49" s="4">
        <v>105</v>
      </c>
      <c r="H49" s="8">
        <v>4.05</v>
      </c>
      <c r="I49" s="4">
        <v>0</v>
      </c>
    </row>
    <row r="50" spans="1:9" x14ac:dyDescent="0.2">
      <c r="A50" s="2">
        <v>4</v>
      </c>
      <c r="B50" s="1" t="s">
        <v>108</v>
      </c>
      <c r="C50" s="4">
        <v>281</v>
      </c>
      <c r="D50" s="8">
        <v>6.48</v>
      </c>
      <c r="E50" s="4">
        <v>140</v>
      </c>
      <c r="F50" s="8">
        <v>8.0399999999999991</v>
      </c>
      <c r="G50" s="4">
        <v>141</v>
      </c>
      <c r="H50" s="8">
        <v>5.44</v>
      </c>
      <c r="I50" s="4">
        <v>0</v>
      </c>
    </row>
    <row r="51" spans="1:9" x14ac:dyDescent="0.2">
      <c r="A51" s="2">
        <v>5</v>
      </c>
      <c r="B51" s="1" t="s">
        <v>105</v>
      </c>
      <c r="C51" s="4">
        <v>263</v>
      </c>
      <c r="D51" s="8">
        <v>6.07</v>
      </c>
      <c r="E51" s="4">
        <v>125</v>
      </c>
      <c r="F51" s="8">
        <v>7.18</v>
      </c>
      <c r="G51" s="4">
        <v>138</v>
      </c>
      <c r="H51" s="8">
        <v>5.33</v>
      </c>
      <c r="I51" s="4">
        <v>0</v>
      </c>
    </row>
    <row r="52" spans="1:9" x14ac:dyDescent="0.2">
      <c r="A52" s="2">
        <v>6</v>
      </c>
      <c r="B52" s="1" t="s">
        <v>112</v>
      </c>
      <c r="C52" s="4">
        <v>232</v>
      </c>
      <c r="D52" s="8">
        <v>5.35</v>
      </c>
      <c r="E52" s="4">
        <v>142</v>
      </c>
      <c r="F52" s="8">
        <v>8.16</v>
      </c>
      <c r="G52" s="4">
        <v>90</v>
      </c>
      <c r="H52" s="8">
        <v>3.47</v>
      </c>
      <c r="I52" s="4">
        <v>0</v>
      </c>
    </row>
    <row r="53" spans="1:9" x14ac:dyDescent="0.2">
      <c r="A53" s="2">
        <v>7</v>
      </c>
      <c r="B53" s="1" t="s">
        <v>113</v>
      </c>
      <c r="C53" s="4">
        <v>189</v>
      </c>
      <c r="D53" s="8">
        <v>4.3600000000000003</v>
      </c>
      <c r="E53" s="4">
        <v>155</v>
      </c>
      <c r="F53" s="8">
        <v>8.9</v>
      </c>
      <c r="G53" s="4">
        <v>34</v>
      </c>
      <c r="H53" s="8">
        <v>1.31</v>
      </c>
      <c r="I53" s="4">
        <v>0</v>
      </c>
    </row>
    <row r="54" spans="1:9" x14ac:dyDescent="0.2">
      <c r="A54" s="2">
        <v>8</v>
      </c>
      <c r="B54" s="1" t="s">
        <v>109</v>
      </c>
      <c r="C54" s="4">
        <v>135</v>
      </c>
      <c r="D54" s="8">
        <v>3.11</v>
      </c>
      <c r="E54" s="4">
        <v>47</v>
      </c>
      <c r="F54" s="8">
        <v>2.7</v>
      </c>
      <c r="G54" s="4">
        <v>88</v>
      </c>
      <c r="H54" s="8">
        <v>3.4</v>
      </c>
      <c r="I54" s="4">
        <v>0</v>
      </c>
    </row>
    <row r="55" spans="1:9" x14ac:dyDescent="0.2">
      <c r="A55" s="2">
        <v>9</v>
      </c>
      <c r="B55" s="1" t="s">
        <v>106</v>
      </c>
      <c r="C55" s="4">
        <v>124</v>
      </c>
      <c r="D55" s="8">
        <v>2.86</v>
      </c>
      <c r="E55" s="4">
        <v>9</v>
      </c>
      <c r="F55" s="8">
        <v>0.52</v>
      </c>
      <c r="G55" s="4">
        <v>115</v>
      </c>
      <c r="H55" s="8">
        <v>4.4400000000000004</v>
      </c>
      <c r="I55" s="4">
        <v>0</v>
      </c>
    </row>
    <row r="56" spans="1:9" x14ac:dyDescent="0.2">
      <c r="A56" s="2">
        <v>10</v>
      </c>
      <c r="B56" s="1" t="s">
        <v>103</v>
      </c>
      <c r="C56" s="4">
        <v>121</v>
      </c>
      <c r="D56" s="8">
        <v>2.79</v>
      </c>
      <c r="E56" s="4">
        <v>62</v>
      </c>
      <c r="F56" s="8">
        <v>3.56</v>
      </c>
      <c r="G56" s="4">
        <v>59</v>
      </c>
      <c r="H56" s="8">
        <v>2.2799999999999998</v>
      </c>
      <c r="I56" s="4">
        <v>0</v>
      </c>
    </row>
    <row r="57" spans="1:9" x14ac:dyDescent="0.2">
      <c r="A57" s="2">
        <v>11</v>
      </c>
      <c r="B57" s="1" t="s">
        <v>102</v>
      </c>
      <c r="C57" s="4">
        <v>119</v>
      </c>
      <c r="D57" s="8">
        <v>2.74</v>
      </c>
      <c r="E57" s="4">
        <v>53</v>
      </c>
      <c r="F57" s="8">
        <v>3.04</v>
      </c>
      <c r="G57" s="4">
        <v>66</v>
      </c>
      <c r="H57" s="8">
        <v>2.5499999999999998</v>
      </c>
      <c r="I57" s="4">
        <v>0</v>
      </c>
    </row>
    <row r="58" spans="1:9" x14ac:dyDescent="0.2">
      <c r="A58" s="2">
        <v>12</v>
      </c>
      <c r="B58" s="1" t="s">
        <v>101</v>
      </c>
      <c r="C58" s="4">
        <v>111</v>
      </c>
      <c r="D58" s="8">
        <v>2.56</v>
      </c>
      <c r="E58" s="4">
        <v>14</v>
      </c>
      <c r="F58" s="8">
        <v>0.8</v>
      </c>
      <c r="G58" s="4">
        <v>97</v>
      </c>
      <c r="H58" s="8">
        <v>3.75</v>
      </c>
      <c r="I58" s="4">
        <v>0</v>
      </c>
    </row>
    <row r="59" spans="1:9" x14ac:dyDescent="0.2">
      <c r="A59" s="2">
        <v>13</v>
      </c>
      <c r="B59" s="1" t="s">
        <v>95</v>
      </c>
      <c r="C59" s="4">
        <v>89</v>
      </c>
      <c r="D59" s="8">
        <v>2.0499999999999998</v>
      </c>
      <c r="E59" s="4">
        <v>8</v>
      </c>
      <c r="F59" s="8">
        <v>0.46</v>
      </c>
      <c r="G59" s="4">
        <v>81</v>
      </c>
      <c r="H59" s="8">
        <v>3.13</v>
      </c>
      <c r="I59" s="4">
        <v>0</v>
      </c>
    </row>
    <row r="60" spans="1:9" x14ac:dyDescent="0.2">
      <c r="A60" s="2">
        <v>14</v>
      </c>
      <c r="B60" s="1" t="s">
        <v>94</v>
      </c>
      <c r="C60" s="4">
        <v>87</v>
      </c>
      <c r="D60" s="8">
        <v>2.0099999999999998</v>
      </c>
      <c r="E60" s="4">
        <v>5</v>
      </c>
      <c r="F60" s="8">
        <v>0.28999999999999998</v>
      </c>
      <c r="G60" s="4">
        <v>82</v>
      </c>
      <c r="H60" s="8">
        <v>3.17</v>
      </c>
      <c r="I60" s="4">
        <v>0</v>
      </c>
    </row>
    <row r="61" spans="1:9" x14ac:dyDescent="0.2">
      <c r="A61" s="2">
        <v>14</v>
      </c>
      <c r="B61" s="1" t="s">
        <v>100</v>
      </c>
      <c r="C61" s="4">
        <v>87</v>
      </c>
      <c r="D61" s="8">
        <v>2.0099999999999998</v>
      </c>
      <c r="E61" s="4">
        <v>5</v>
      </c>
      <c r="F61" s="8">
        <v>0.28999999999999998</v>
      </c>
      <c r="G61" s="4">
        <v>82</v>
      </c>
      <c r="H61" s="8">
        <v>3.17</v>
      </c>
      <c r="I61" s="4">
        <v>0</v>
      </c>
    </row>
    <row r="62" spans="1:9" x14ac:dyDescent="0.2">
      <c r="A62" s="2">
        <v>16</v>
      </c>
      <c r="B62" s="1" t="s">
        <v>96</v>
      </c>
      <c r="C62" s="4">
        <v>83</v>
      </c>
      <c r="D62" s="8">
        <v>1.91</v>
      </c>
      <c r="E62" s="4">
        <v>9</v>
      </c>
      <c r="F62" s="8">
        <v>0.52</v>
      </c>
      <c r="G62" s="4">
        <v>74</v>
      </c>
      <c r="H62" s="8">
        <v>2.86</v>
      </c>
      <c r="I62" s="4">
        <v>0</v>
      </c>
    </row>
    <row r="63" spans="1:9" x14ac:dyDescent="0.2">
      <c r="A63" s="2">
        <v>17</v>
      </c>
      <c r="B63" s="1" t="s">
        <v>114</v>
      </c>
      <c r="C63" s="4">
        <v>82</v>
      </c>
      <c r="D63" s="8">
        <v>1.89</v>
      </c>
      <c r="E63" s="4">
        <v>4</v>
      </c>
      <c r="F63" s="8">
        <v>0.23</v>
      </c>
      <c r="G63" s="4">
        <v>75</v>
      </c>
      <c r="H63" s="8">
        <v>2.9</v>
      </c>
      <c r="I63" s="4">
        <v>3</v>
      </c>
    </row>
    <row r="64" spans="1:9" x14ac:dyDescent="0.2">
      <c r="A64" s="2">
        <v>18</v>
      </c>
      <c r="B64" s="1" t="s">
        <v>115</v>
      </c>
      <c r="C64" s="4">
        <v>76</v>
      </c>
      <c r="D64" s="8">
        <v>1.75</v>
      </c>
      <c r="E64" s="4">
        <v>21</v>
      </c>
      <c r="F64" s="8">
        <v>1.21</v>
      </c>
      <c r="G64" s="4">
        <v>54</v>
      </c>
      <c r="H64" s="8">
        <v>2.08</v>
      </c>
      <c r="I64" s="4">
        <v>1</v>
      </c>
    </row>
    <row r="65" spans="1:9" x14ac:dyDescent="0.2">
      <c r="A65" s="2">
        <v>19</v>
      </c>
      <c r="B65" s="1" t="s">
        <v>104</v>
      </c>
      <c r="C65" s="4">
        <v>65</v>
      </c>
      <c r="D65" s="8">
        <v>1.5</v>
      </c>
      <c r="E65" s="4">
        <v>17</v>
      </c>
      <c r="F65" s="8">
        <v>0.98</v>
      </c>
      <c r="G65" s="4">
        <v>48</v>
      </c>
      <c r="H65" s="8">
        <v>1.85</v>
      </c>
      <c r="I65" s="4">
        <v>0</v>
      </c>
    </row>
    <row r="66" spans="1:9" x14ac:dyDescent="0.2">
      <c r="A66" s="2">
        <v>20</v>
      </c>
      <c r="B66" s="1" t="s">
        <v>99</v>
      </c>
      <c r="C66" s="4">
        <v>51</v>
      </c>
      <c r="D66" s="8">
        <v>1.18</v>
      </c>
      <c r="E66" s="4">
        <v>2</v>
      </c>
      <c r="F66" s="8">
        <v>0.11</v>
      </c>
      <c r="G66" s="4">
        <v>49</v>
      </c>
      <c r="H66" s="8">
        <v>1.89</v>
      </c>
      <c r="I66" s="4">
        <v>0</v>
      </c>
    </row>
    <row r="67" spans="1:9" x14ac:dyDescent="0.2">
      <c r="A67" s="2">
        <v>20</v>
      </c>
      <c r="B67" s="1" t="s">
        <v>116</v>
      </c>
      <c r="C67" s="4">
        <v>51</v>
      </c>
      <c r="D67" s="8">
        <v>1.18</v>
      </c>
      <c r="E67" s="4">
        <v>2</v>
      </c>
      <c r="F67" s="8">
        <v>0.11</v>
      </c>
      <c r="G67" s="4">
        <v>49</v>
      </c>
      <c r="H67" s="8">
        <v>1.89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107</v>
      </c>
      <c r="C70" s="4">
        <v>402</v>
      </c>
      <c r="D70" s="8">
        <v>11.79</v>
      </c>
      <c r="E70" s="4">
        <v>77</v>
      </c>
      <c r="F70" s="8">
        <v>6.75</v>
      </c>
      <c r="G70" s="4">
        <v>324</v>
      </c>
      <c r="H70" s="8">
        <v>14.32</v>
      </c>
      <c r="I70" s="4">
        <v>1</v>
      </c>
    </row>
    <row r="71" spans="1:9" x14ac:dyDescent="0.2">
      <c r="A71" s="2">
        <v>2</v>
      </c>
      <c r="B71" s="1" t="s">
        <v>108</v>
      </c>
      <c r="C71" s="4">
        <v>364</v>
      </c>
      <c r="D71" s="8">
        <v>10.68</v>
      </c>
      <c r="E71" s="4">
        <v>213</v>
      </c>
      <c r="F71" s="8">
        <v>18.68</v>
      </c>
      <c r="G71" s="4">
        <v>151</v>
      </c>
      <c r="H71" s="8">
        <v>6.68</v>
      </c>
      <c r="I71" s="4">
        <v>0</v>
      </c>
    </row>
    <row r="72" spans="1:9" x14ac:dyDescent="0.2">
      <c r="A72" s="2">
        <v>3</v>
      </c>
      <c r="B72" s="1" t="s">
        <v>110</v>
      </c>
      <c r="C72" s="4">
        <v>347</v>
      </c>
      <c r="D72" s="8">
        <v>10.18</v>
      </c>
      <c r="E72" s="4">
        <v>257</v>
      </c>
      <c r="F72" s="8">
        <v>22.54</v>
      </c>
      <c r="G72" s="4">
        <v>90</v>
      </c>
      <c r="H72" s="8">
        <v>3.98</v>
      </c>
      <c r="I72" s="4">
        <v>0</v>
      </c>
    </row>
    <row r="73" spans="1:9" x14ac:dyDescent="0.2">
      <c r="A73" s="2">
        <v>4</v>
      </c>
      <c r="B73" s="1" t="s">
        <v>111</v>
      </c>
      <c r="C73" s="4">
        <v>219</v>
      </c>
      <c r="D73" s="8">
        <v>6.42</v>
      </c>
      <c r="E73" s="4">
        <v>150</v>
      </c>
      <c r="F73" s="8">
        <v>13.16</v>
      </c>
      <c r="G73" s="4">
        <v>69</v>
      </c>
      <c r="H73" s="8">
        <v>3.05</v>
      </c>
      <c r="I73" s="4">
        <v>0</v>
      </c>
    </row>
    <row r="74" spans="1:9" x14ac:dyDescent="0.2">
      <c r="A74" s="2">
        <v>5</v>
      </c>
      <c r="B74" s="1" t="s">
        <v>105</v>
      </c>
      <c r="C74" s="4">
        <v>141</v>
      </c>
      <c r="D74" s="8">
        <v>4.1399999999999997</v>
      </c>
      <c r="E74" s="4">
        <v>54</v>
      </c>
      <c r="F74" s="8">
        <v>4.74</v>
      </c>
      <c r="G74" s="4">
        <v>87</v>
      </c>
      <c r="H74" s="8">
        <v>3.85</v>
      </c>
      <c r="I74" s="4">
        <v>0</v>
      </c>
    </row>
    <row r="75" spans="1:9" x14ac:dyDescent="0.2">
      <c r="A75" s="2">
        <v>6</v>
      </c>
      <c r="B75" s="1" t="s">
        <v>112</v>
      </c>
      <c r="C75" s="4">
        <v>133</v>
      </c>
      <c r="D75" s="8">
        <v>3.9</v>
      </c>
      <c r="E75" s="4">
        <v>72</v>
      </c>
      <c r="F75" s="8">
        <v>6.32</v>
      </c>
      <c r="G75" s="4">
        <v>60</v>
      </c>
      <c r="H75" s="8">
        <v>2.65</v>
      </c>
      <c r="I75" s="4">
        <v>0</v>
      </c>
    </row>
    <row r="76" spans="1:9" x14ac:dyDescent="0.2">
      <c r="A76" s="2">
        <v>7</v>
      </c>
      <c r="B76" s="1" t="s">
        <v>106</v>
      </c>
      <c r="C76" s="4">
        <v>120</v>
      </c>
      <c r="D76" s="8">
        <v>3.52</v>
      </c>
      <c r="E76" s="4">
        <v>6</v>
      </c>
      <c r="F76" s="8">
        <v>0.53</v>
      </c>
      <c r="G76" s="4">
        <v>114</v>
      </c>
      <c r="H76" s="8">
        <v>5.04</v>
      </c>
      <c r="I76" s="4">
        <v>0</v>
      </c>
    </row>
    <row r="77" spans="1:9" x14ac:dyDescent="0.2">
      <c r="A77" s="2">
        <v>8</v>
      </c>
      <c r="B77" s="1" t="s">
        <v>100</v>
      </c>
      <c r="C77" s="4">
        <v>104</v>
      </c>
      <c r="D77" s="8">
        <v>3.05</v>
      </c>
      <c r="E77" s="4">
        <v>1</v>
      </c>
      <c r="F77" s="8">
        <v>0.09</v>
      </c>
      <c r="G77" s="4">
        <v>103</v>
      </c>
      <c r="H77" s="8">
        <v>4.55</v>
      </c>
      <c r="I77" s="4">
        <v>0</v>
      </c>
    </row>
    <row r="78" spans="1:9" x14ac:dyDescent="0.2">
      <c r="A78" s="2">
        <v>8</v>
      </c>
      <c r="B78" s="1" t="s">
        <v>109</v>
      </c>
      <c r="C78" s="4">
        <v>104</v>
      </c>
      <c r="D78" s="8">
        <v>3.05</v>
      </c>
      <c r="E78" s="4">
        <v>32</v>
      </c>
      <c r="F78" s="8">
        <v>2.81</v>
      </c>
      <c r="G78" s="4">
        <v>72</v>
      </c>
      <c r="H78" s="8">
        <v>3.18</v>
      </c>
      <c r="I78" s="4">
        <v>0</v>
      </c>
    </row>
    <row r="79" spans="1:9" x14ac:dyDescent="0.2">
      <c r="A79" s="2">
        <v>8</v>
      </c>
      <c r="B79" s="1" t="s">
        <v>113</v>
      </c>
      <c r="C79" s="4">
        <v>104</v>
      </c>
      <c r="D79" s="8">
        <v>3.05</v>
      </c>
      <c r="E79" s="4">
        <v>85</v>
      </c>
      <c r="F79" s="8">
        <v>7.46</v>
      </c>
      <c r="G79" s="4">
        <v>19</v>
      </c>
      <c r="H79" s="8">
        <v>0.84</v>
      </c>
      <c r="I79" s="4">
        <v>0</v>
      </c>
    </row>
    <row r="80" spans="1:9" x14ac:dyDescent="0.2">
      <c r="A80" s="2">
        <v>11</v>
      </c>
      <c r="B80" s="1" t="s">
        <v>101</v>
      </c>
      <c r="C80" s="4">
        <v>101</v>
      </c>
      <c r="D80" s="8">
        <v>2.96</v>
      </c>
      <c r="E80" s="4">
        <v>8</v>
      </c>
      <c r="F80" s="8">
        <v>0.7</v>
      </c>
      <c r="G80" s="4">
        <v>93</v>
      </c>
      <c r="H80" s="8">
        <v>4.1100000000000003</v>
      </c>
      <c r="I80" s="4">
        <v>0</v>
      </c>
    </row>
    <row r="81" spans="1:9" x14ac:dyDescent="0.2">
      <c r="A81" s="2">
        <v>12</v>
      </c>
      <c r="B81" s="1" t="s">
        <v>94</v>
      </c>
      <c r="C81" s="4">
        <v>90</v>
      </c>
      <c r="D81" s="8">
        <v>2.64</v>
      </c>
      <c r="E81" s="4">
        <v>3</v>
      </c>
      <c r="F81" s="8">
        <v>0.26</v>
      </c>
      <c r="G81" s="4">
        <v>87</v>
      </c>
      <c r="H81" s="8">
        <v>3.85</v>
      </c>
      <c r="I81" s="4">
        <v>0</v>
      </c>
    </row>
    <row r="82" spans="1:9" x14ac:dyDescent="0.2">
      <c r="A82" s="2">
        <v>13</v>
      </c>
      <c r="B82" s="1" t="s">
        <v>103</v>
      </c>
      <c r="C82" s="4">
        <v>80</v>
      </c>
      <c r="D82" s="8">
        <v>2.35</v>
      </c>
      <c r="E82" s="4">
        <v>44</v>
      </c>
      <c r="F82" s="8">
        <v>3.86</v>
      </c>
      <c r="G82" s="4">
        <v>36</v>
      </c>
      <c r="H82" s="8">
        <v>1.59</v>
      </c>
      <c r="I82" s="4">
        <v>0</v>
      </c>
    </row>
    <row r="83" spans="1:9" x14ac:dyDescent="0.2">
      <c r="A83" s="2">
        <v>14</v>
      </c>
      <c r="B83" s="1" t="s">
        <v>99</v>
      </c>
      <c r="C83" s="4">
        <v>78</v>
      </c>
      <c r="D83" s="8">
        <v>2.29</v>
      </c>
      <c r="E83" s="4">
        <v>4</v>
      </c>
      <c r="F83" s="8">
        <v>0.35</v>
      </c>
      <c r="G83" s="4">
        <v>74</v>
      </c>
      <c r="H83" s="8">
        <v>3.27</v>
      </c>
      <c r="I83" s="4">
        <v>0</v>
      </c>
    </row>
    <row r="84" spans="1:9" x14ac:dyDescent="0.2">
      <c r="A84" s="2">
        <v>14</v>
      </c>
      <c r="B84" s="1" t="s">
        <v>114</v>
      </c>
      <c r="C84" s="4">
        <v>78</v>
      </c>
      <c r="D84" s="8">
        <v>2.29</v>
      </c>
      <c r="E84" s="4">
        <v>3</v>
      </c>
      <c r="F84" s="8">
        <v>0.26</v>
      </c>
      <c r="G84" s="4">
        <v>73</v>
      </c>
      <c r="H84" s="8">
        <v>3.23</v>
      </c>
      <c r="I84" s="4">
        <v>2</v>
      </c>
    </row>
    <row r="85" spans="1:9" x14ac:dyDescent="0.2">
      <c r="A85" s="2">
        <v>16</v>
      </c>
      <c r="B85" s="1" t="s">
        <v>96</v>
      </c>
      <c r="C85" s="4">
        <v>71</v>
      </c>
      <c r="D85" s="8">
        <v>2.08</v>
      </c>
      <c r="E85" s="4">
        <v>8</v>
      </c>
      <c r="F85" s="8">
        <v>0.7</v>
      </c>
      <c r="G85" s="4">
        <v>63</v>
      </c>
      <c r="H85" s="8">
        <v>2.79</v>
      </c>
      <c r="I85" s="4">
        <v>0</v>
      </c>
    </row>
    <row r="86" spans="1:9" x14ac:dyDescent="0.2">
      <c r="A86" s="2">
        <v>16</v>
      </c>
      <c r="B86" s="1" t="s">
        <v>102</v>
      </c>
      <c r="C86" s="4">
        <v>71</v>
      </c>
      <c r="D86" s="8">
        <v>2.08</v>
      </c>
      <c r="E86" s="4">
        <v>26</v>
      </c>
      <c r="F86" s="8">
        <v>2.2799999999999998</v>
      </c>
      <c r="G86" s="4">
        <v>45</v>
      </c>
      <c r="H86" s="8">
        <v>1.99</v>
      </c>
      <c r="I86" s="4">
        <v>0</v>
      </c>
    </row>
    <row r="87" spans="1:9" x14ac:dyDescent="0.2">
      <c r="A87" s="2">
        <v>18</v>
      </c>
      <c r="B87" s="1" t="s">
        <v>115</v>
      </c>
      <c r="C87" s="4">
        <v>58</v>
      </c>
      <c r="D87" s="8">
        <v>1.7</v>
      </c>
      <c r="E87" s="4">
        <v>14</v>
      </c>
      <c r="F87" s="8">
        <v>1.23</v>
      </c>
      <c r="G87" s="4">
        <v>44</v>
      </c>
      <c r="H87" s="8">
        <v>1.95</v>
      </c>
      <c r="I87" s="4">
        <v>0</v>
      </c>
    </row>
    <row r="88" spans="1:9" x14ac:dyDescent="0.2">
      <c r="A88" s="2">
        <v>19</v>
      </c>
      <c r="B88" s="1" t="s">
        <v>117</v>
      </c>
      <c r="C88" s="4">
        <v>53</v>
      </c>
      <c r="D88" s="8">
        <v>1.55</v>
      </c>
      <c r="E88" s="4">
        <v>12</v>
      </c>
      <c r="F88" s="8">
        <v>1.05</v>
      </c>
      <c r="G88" s="4">
        <v>41</v>
      </c>
      <c r="H88" s="8">
        <v>1.81</v>
      </c>
      <c r="I88" s="4">
        <v>0</v>
      </c>
    </row>
    <row r="89" spans="1:9" x14ac:dyDescent="0.2">
      <c r="A89" s="2">
        <v>20</v>
      </c>
      <c r="B89" s="1" t="s">
        <v>95</v>
      </c>
      <c r="C89" s="4">
        <v>52</v>
      </c>
      <c r="D89" s="8">
        <v>1.53</v>
      </c>
      <c r="E89" s="4">
        <v>3</v>
      </c>
      <c r="F89" s="8">
        <v>0.26</v>
      </c>
      <c r="G89" s="4">
        <v>49</v>
      </c>
      <c r="H89" s="8">
        <v>2.17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110</v>
      </c>
      <c r="C92" s="4">
        <v>490</v>
      </c>
      <c r="D92" s="8">
        <v>11.71</v>
      </c>
      <c r="E92" s="4">
        <v>438</v>
      </c>
      <c r="F92" s="8">
        <v>23.99</v>
      </c>
      <c r="G92" s="4">
        <v>52</v>
      </c>
      <c r="H92" s="8">
        <v>2.21</v>
      </c>
      <c r="I92" s="4">
        <v>0</v>
      </c>
    </row>
    <row r="93" spans="1:9" x14ac:dyDescent="0.2">
      <c r="A93" s="2">
        <v>2</v>
      </c>
      <c r="B93" s="1" t="s">
        <v>107</v>
      </c>
      <c r="C93" s="4">
        <v>359</v>
      </c>
      <c r="D93" s="8">
        <v>8.58</v>
      </c>
      <c r="E93" s="4">
        <v>101</v>
      </c>
      <c r="F93" s="8">
        <v>5.53</v>
      </c>
      <c r="G93" s="4">
        <v>257</v>
      </c>
      <c r="H93" s="8">
        <v>10.92</v>
      </c>
      <c r="I93" s="4">
        <v>1</v>
      </c>
    </row>
    <row r="94" spans="1:9" x14ac:dyDescent="0.2">
      <c r="A94" s="2">
        <v>3</v>
      </c>
      <c r="B94" s="1" t="s">
        <v>111</v>
      </c>
      <c r="C94" s="4">
        <v>331</v>
      </c>
      <c r="D94" s="8">
        <v>7.91</v>
      </c>
      <c r="E94" s="4">
        <v>276</v>
      </c>
      <c r="F94" s="8">
        <v>15.12</v>
      </c>
      <c r="G94" s="4">
        <v>55</v>
      </c>
      <c r="H94" s="8">
        <v>2.34</v>
      </c>
      <c r="I94" s="4">
        <v>0</v>
      </c>
    </row>
    <row r="95" spans="1:9" x14ac:dyDescent="0.2">
      <c r="A95" s="2">
        <v>4</v>
      </c>
      <c r="B95" s="1" t="s">
        <v>96</v>
      </c>
      <c r="C95" s="4">
        <v>232</v>
      </c>
      <c r="D95" s="8">
        <v>5.54</v>
      </c>
      <c r="E95" s="4">
        <v>22</v>
      </c>
      <c r="F95" s="8">
        <v>1.2</v>
      </c>
      <c r="G95" s="4">
        <v>210</v>
      </c>
      <c r="H95" s="8">
        <v>8.92</v>
      </c>
      <c r="I95" s="4">
        <v>0</v>
      </c>
    </row>
    <row r="96" spans="1:9" x14ac:dyDescent="0.2">
      <c r="A96" s="2">
        <v>5</v>
      </c>
      <c r="B96" s="1" t="s">
        <v>95</v>
      </c>
      <c r="C96" s="4">
        <v>214</v>
      </c>
      <c r="D96" s="8">
        <v>5.1100000000000003</v>
      </c>
      <c r="E96" s="4">
        <v>43</v>
      </c>
      <c r="F96" s="8">
        <v>2.35</v>
      </c>
      <c r="G96" s="4">
        <v>171</v>
      </c>
      <c r="H96" s="8">
        <v>7.27</v>
      </c>
      <c r="I96" s="4">
        <v>0</v>
      </c>
    </row>
    <row r="97" spans="1:9" x14ac:dyDescent="0.2">
      <c r="A97" s="2">
        <v>6</v>
      </c>
      <c r="B97" s="1" t="s">
        <v>105</v>
      </c>
      <c r="C97" s="4">
        <v>175</v>
      </c>
      <c r="D97" s="8">
        <v>4.18</v>
      </c>
      <c r="E97" s="4">
        <v>95</v>
      </c>
      <c r="F97" s="8">
        <v>5.2</v>
      </c>
      <c r="G97" s="4">
        <v>80</v>
      </c>
      <c r="H97" s="8">
        <v>3.4</v>
      </c>
      <c r="I97" s="4">
        <v>0</v>
      </c>
    </row>
    <row r="98" spans="1:9" x14ac:dyDescent="0.2">
      <c r="A98" s="2">
        <v>7</v>
      </c>
      <c r="B98" s="1" t="s">
        <v>108</v>
      </c>
      <c r="C98" s="4">
        <v>172</v>
      </c>
      <c r="D98" s="8">
        <v>4.1100000000000003</v>
      </c>
      <c r="E98" s="4">
        <v>116</v>
      </c>
      <c r="F98" s="8">
        <v>6.35</v>
      </c>
      <c r="G98" s="4">
        <v>56</v>
      </c>
      <c r="H98" s="8">
        <v>2.38</v>
      </c>
      <c r="I98" s="4">
        <v>0</v>
      </c>
    </row>
    <row r="99" spans="1:9" x14ac:dyDescent="0.2">
      <c r="A99" s="2">
        <v>8</v>
      </c>
      <c r="B99" s="1" t="s">
        <v>113</v>
      </c>
      <c r="C99" s="4">
        <v>163</v>
      </c>
      <c r="D99" s="8">
        <v>3.89</v>
      </c>
      <c r="E99" s="4">
        <v>137</v>
      </c>
      <c r="F99" s="8">
        <v>7.5</v>
      </c>
      <c r="G99" s="4">
        <v>26</v>
      </c>
      <c r="H99" s="8">
        <v>1.1000000000000001</v>
      </c>
      <c r="I99" s="4">
        <v>0</v>
      </c>
    </row>
    <row r="100" spans="1:9" x14ac:dyDescent="0.2">
      <c r="A100" s="2">
        <v>9</v>
      </c>
      <c r="B100" s="1" t="s">
        <v>94</v>
      </c>
      <c r="C100" s="4">
        <v>159</v>
      </c>
      <c r="D100" s="8">
        <v>3.8</v>
      </c>
      <c r="E100" s="4">
        <v>21</v>
      </c>
      <c r="F100" s="8">
        <v>1.1499999999999999</v>
      </c>
      <c r="G100" s="4">
        <v>138</v>
      </c>
      <c r="H100" s="8">
        <v>5.86</v>
      </c>
      <c r="I100" s="4">
        <v>0</v>
      </c>
    </row>
    <row r="101" spans="1:9" x14ac:dyDescent="0.2">
      <c r="A101" s="2">
        <v>10</v>
      </c>
      <c r="B101" s="1" t="s">
        <v>103</v>
      </c>
      <c r="C101" s="4">
        <v>132</v>
      </c>
      <c r="D101" s="8">
        <v>3.15</v>
      </c>
      <c r="E101" s="4">
        <v>75</v>
      </c>
      <c r="F101" s="8">
        <v>4.1100000000000003</v>
      </c>
      <c r="G101" s="4">
        <v>57</v>
      </c>
      <c r="H101" s="8">
        <v>2.42</v>
      </c>
      <c r="I101" s="4">
        <v>0</v>
      </c>
    </row>
    <row r="102" spans="1:9" x14ac:dyDescent="0.2">
      <c r="A102" s="2">
        <v>11</v>
      </c>
      <c r="B102" s="1" t="s">
        <v>112</v>
      </c>
      <c r="C102" s="4">
        <v>131</v>
      </c>
      <c r="D102" s="8">
        <v>3.13</v>
      </c>
      <c r="E102" s="4">
        <v>95</v>
      </c>
      <c r="F102" s="8">
        <v>5.2</v>
      </c>
      <c r="G102" s="4">
        <v>36</v>
      </c>
      <c r="H102" s="8">
        <v>1.53</v>
      </c>
      <c r="I102" s="4">
        <v>0</v>
      </c>
    </row>
    <row r="103" spans="1:9" x14ac:dyDescent="0.2">
      <c r="A103" s="2">
        <v>12</v>
      </c>
      <c r="B103" s="1" t="s">
        <v>101</v>
      </c>
      <c r="C103" s="4">
        <v>100</v>
      </c>
      <c r="D103" s="8">
        <v>2.39</v>
      </c>
      <c r="E103" s="4">
        <v>17</v>
      </c>
      <c r="F103" s="8">
        <v>0.93</v>
      </c>
      <c r="G103" s="4">
        <v>83</v>
      </c>
      <c r="H103" s="8">
        <v>3.53</v>
      </c>
      <c r="I103" s="4">
        <v>0</v>
      </c>
    </row>
    <row r="104" spans="1:9" x14ac:dyDescent="0.2">
      <c r="A104" s="2">
        <v>13</v>
      </c>
      <c r="B104" s="1" t="s">
        <v>109</v>
      </c>
      <c r="C104" s="4">
        <v>93</v>
      </c>
      <c r="D104" s="8">
        <v>2.2200000000000002</v>
      </c>
      <c r="E104" s="4">
        <v>43</v>
      </c>
      <c r="F104" s="8">
        <v>2.35</v>
      </c>
      <c r="G104" s="4">
        <v>49</v>
      </c>
      <c r="H104" s="8">
        <v>2.08</v>
      </c>
      <c r="I104" s="4">
        <v>0</v>
      </c>
    </row>
    <row r="105" spans="1:9" x14ac:dyDescent="0.2">
      <c r="A105" s="2">
        <v>14</v>
      </c>
      <c r="B105" s="1" t="s">
        <v>104</v>
      </c>
      <c r="C105" s="4">
        <v>89</v>
      </c>
      <c r="D105" s="8">
        <v>2.13</v>
      </c>
      <c r="E105" s="4">
        <v>39</v>
      </c>
      <c r="F105" s="8">
        <v>2.14</v>
      </c>
      <c r="G105" s="4">
        <v>50</v>
      </c>
      <c r="H105" s="8">
        <v>2.12</v>
      </c>
      <c r="I105" s="4">
        <v>0</v>
      </c>
    </row>
    <row r="106" spans="1:9" x14ac:dyDescent="0.2">
      <c r="A106" s="2">
        <v>15</v>
      </c>
      <c r="B106" s="1" t="s">
        <v>100</v>
      </c>
      <c r="C106" s="4">
        <v>86</v>
      </c>
      <c r="D106" s="8">
        <v>2.0499999999999998</v>
      </c>
      <c r="E106" s="4">
        <v>10</v>
      </c>
      <c r="F106" s="8">
        <v>0.55000000000000004</v>
      </c>
      <c r="G106" s="4">
        <v>76</v>
      </c>
      <c r="H106" s="8">
        <v>3.23</v>
      </c>
      <c r="I106" s="4">
        <v>0</v>
      </c>
    </row>
    <row r="107" spans="1:9" x14ac:dyDescent="0.2">
      <c r="A107" s="2">
        <v>16</v>
      </c>
      <c r="B107" s="1" t="s">
        <v>117</v>
      </c>
      <c r="C107" s="4">
        <v>80</v>
      </c>
      <c r="D107" s="8">
        <v>1.91</v>
      </c>
      <c r="E107" s="4">
        <v>24</v>
      </c>
      <c r="F107" s="8">
        <v>1.31</v>
      </c>
      <c r="G107" s="4">
        <v>56</v>
      </c>
      <c r="H107" s="8">
        <v>2.38</v>
      </c>
      <c r="I107" s="4">
        <v>0</v>
      </c>
    </row>
    <row r="108" spans="1:9" x14ac:dyDescent="0.2">
      <c r="A108" s="2">
        <v>17</v>
      </c>
      <c r="B108" s="1" t="s">
        <v>99</v>
      </c>
      <c r="C108" s="4">
        <v>70</v>
      </c>
      <c r="D108" s="8">
        <v>1.67</v>
      </c>
      <c r="E108" s="4">
        <v>6</v>
      </c>
      <c r="F108" s="8">
        <v>0.33</v>
      </c>
      <c r="G108" s="4">
        <v>64</v>
      </c>
      <c r="H108" s="8">
        <v>2.72</v>
      </c>
      <c r="I108" s="4">
        <v>0</v>
      </c>
    </row>
    <row r="109" spans="1:9" x14ac:dyDescent="0.2">
      <c r="A109" s="2">
        <v>18</v>
      </c>
      <c r="B109" s="1" t="s">
        <v>115</v>
      </c>
      <c r="C109" s="4">
        <v>68</v>
      </c>
      <c r="D109" s="8">
        <v>1.62</v>
      </c>
      <c r="E109" s="4">
        <v>25</v>
      </c>
      <c r="F109" s="8">
        <v>1.37</v>
      </c>
      <c r="G109" s="4">
        <v>43</v>
      </c>
      <c r="H109" s="8">
        <v>1.83</v>
      </c>
      <c r="I109" s="4">
        <v>0</v>
      </c>
    </row>
    <row r="110" spans="1:9" x14ac:dyDescent="0.2">
      <c r="A110" s="2">
        <v>19</v>
      </c>
      <c r="B110" s="1" t="s">
        <v>106</v>
      </c>
      <c r="C110" s="4">
        <v>67</v>
      </c>
      <c r="D110" s="8">
        <v>1.6</v>
      </c>
      <c r="E110" s="4">
        <v>7</v>
      </c>
      <c r="F110" s="8">
        <v>0.38</v>
      </c>
      <c r="G110" s="4">
        <v>60</v>
      </c>
      <c r="H110" s="8">
        <v>2.5499999999999998</v>
      </c>
      <c r="I110" s="4">
        <v>0</v>
      </c>
    </row>
    <row r="111" spans="1:9" x14ac:dyDescent="0.2">
      <c r="A111" s="2">
        <v>20</v>
      </c>
      <c r="B111" s="1" t="s">
        <v>116</v>
      </c>
      <c r="C111" s="4">
        <v>62</v>
      </c>
      <c r="D111" s="8">
        <v>1.48</v>
      </c>
      <c r="E111" s="4">
        <v>2</v>
      </c>
      <c r="F111" s="8">
        <v>0.11</v>
      </c>
      <c r="G111" s="4">
        <v>58</v>
      </c>
      <c r="H111" s="8">
        <v>2.46</v>
      </c>
      <c r="I111" s="4">
        <v>2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110</v>
      </c>
      <c r="C114" s="4">
        <v>511</v>
      </c>
      <c r="D114" s="8">
        <v>10.81</v>
      </c>
      <c r="E114" s="4">
        <v>428</v>
      </c>
      <c r="F114" s="8">
        <v>23.54</v>
      </c>
      <c r="G114" s="4">
        <v>83</v>
      </c>
      <c r="H114" s="8">
        <v>2.86</v>
      </c>
      <c r="I114" s="4">
        <v>0</v>
      </c>
    </row>
    <row r="115" spans="1:9" x14ac:dyDescent="0.2">
      <c r="A115" s="2">
        <v>2</v>
      </c>
      <c r="B115" s="1" t="s">
        <v>107</v>
      </c>
      <c r="C115" s="4">
        <v>389</v>
      </c>
      <c r="D115" s="8">
        <v>8.23</v>
      </c>
      <c r="E115" s="4">
        <v>89</v>
      </c>
      <c r="F115" s="8">
        <v>4.9000000000000004</v>
      </c>
      <c r="G115" s="4">
        <v>300</v>
      </c>
      <c r="H115" s="8">
        <v>10.33</v>
      </c>
      <c r="I115" s="4">
        <v>0</v>
      </c>
    </row>
    <row r="116" spans="1:9" x14ac:dyDescent="0.2">
      <c r="A116" s="2">
        <v>3</v>
      </c>
      <c r="B116" s="1" t="s">
        <v>111</v>
      </c>
      <c r="C116" s="4">
        <v>329</v>
      </c>
      <c r="D116" s="8">
        <v>6.96</v>
      </c>
      <c r="E116" s="4">
        <v>258</v>
      </c>
      <c r="F116" s="8">
        <v>14.19</v>
      </c>
      <c r="G116" s="4">
        <v>71</v>
      </c>
      <c r="H116" s="8">
        <v>2.44</v>
      </c>
      <c r="I116" s="4">
        <v>0</v>
      </c>
    </row>
    <row r="117" spans="1:9" x14ac:dyDescent="0.2">
      <c r="A117" s="2">
        <v>4</v>
      </c>
      <c r="B117" s="1" t="s">
        <v>105</v>
      </c>
      <c r="C117" s="4">
        <v>204</v>
      </c>
      <c r="D117" s="8">
        <v>4.3099999999999996</v>
      </c>
      <c r="E117" s="4">
        <v>101</v>
      </c>
      <c r="F117" s="8">
        <v>5.56</v>
      </c>
      <c r="G117" s="4">
        <v>103</v>
      </c>
      <c r="H117" s="8">
        <v>3.55</v>
      </c>
      <c r="I117" s="4">
        <v>0</v>
      </c>
    </row>
    <row r="118" spans="1:9" x14ac:dyDescent="0.2">
      <c r="A118" s="2">
        <v>5</v>
      </c>
      <c r="B118" s="1" t="s">
        <v>96</v>
      </c>
      <c r="C118" s="4">
        <v>191</v>
      </c>
      <c r="D118" s="8">
        <v>4.04</v>
      </c>
      <c r="E118" s="4">
        <v>22</v>
      </c>
      <c r="F118" s="8">
        <v>1.21</v>
      </c>
      <c r="G118" s="4">
        <v>169</v>
      </c>
      <c r="H118" s="8">
        <v>5.82</v>
      </c>
      <c r="I118" s="4">
        <v>0</v>
      </c>
    </row>
    <row r="119" spans="1:9" x14ac:dyDescent="0.2">
      <c r="A119" s="2">
        <v>6</v>
      </c>
      <c r="B119" s="1" t="s">
        <v>108</v>
      </c>
      <c r="C119" s="4">
        <v>189</v>
      </c>
      <c r="D119" s="8">
        <v>4</v>
      </c>
      <c r="E119" s="4">
        <v>123</v>
      </c>
      <c r="F119" s="8">
        <v>6.77</v>
      </c>
      <c r="G119" s="4">
        <v>65</v>
      </c>
      <c r="H119" s="8">
        <v>2.2400000000000002</v>
      </c>
      <c r="I119" s="4">
        <v>1</v>
      </c>
    </row>
    <row r="120" spans="1:9" x14ac:dyDescent="0.2">
      <c r="A120" s="2">
        <v>7</v>
      </c>
      <c r="B120" s="1" t="s">
        <v>95</v>
      </c>
      <c r="C120" s="4">
        <v>180</v>
      </c>
      <c r="D120" s="8">
        <v>3.81</v>
      </c>
      <c r="E120" s="4">
        <v>34</v>
      </c>
      <c r="F120" s="8">
        <v>1.87</v>
      </c>
      <c r="G120" s="4">
        <v>146</v>
      </c>
      <c r="H120" s="8">
        <v>5.03</v>
      </c>
      <c r="I120" s="4">
        <v>0</v>
      </c>
    </row>
    <row r="121" spans="1:9" x14ac:dyDescent="0.2">
      <c r="A121" s="2">
        <v>8</v>
      </c>
      <c r="B121" s="1" t="s">
        <v>94</v>
      </c>
      <c r="C121" s="4">
        <v>177</v>
      </c>
      <c r="D121" s="8">
        <v>3.74</v>
      </c>
      <c r="E121" s="4">
        <v>15</v>
      </c>
      <c r="F121" s="8">
        <v>0.83</v>
      </c>
      <c r="G121" s="4">
        <v>162</v>
      </c>
      <c r="H121" s="8">
        <v>5.58</v>
      </c>
      <c r="I121" s="4">
        <v>0</v>
      </c>
    </row>
    <row r="122" spans="1:9" x14ac:dyDescent="0.2">
      <c r="A122" s="2">
        <v>9</v>
      </c>
      <c r="B122" s="1" t="s">
        <v>113</v>
      </c>
      <c r="C122" s="4">
        <v>141</v>
      </c>
      <c r="D122" s="8">
        <v>2.98</v>
      </c>
      <c r="E122" s="4">
        <v>116</v>
      </c>
      <c r="F122" s="8">
        <v>6.38</v>
      </c>
      <c r="G122" s="4">
        <v>25</v>
      </c>
      <c r="H122" s="8">
        <v>0.86</v>
      </c>
      <c r="I122" s="4">
        <v>0</v>
      </c>
    </row>
    <row r="123" spans="1:9" x14ac:dyDescent="0.2">
      <c r="A123" s="2">
        <v>10</v>
      </c>
      <c r="B123" s="1" t="s">
        <v>100</v>
      </c>
      <c r="C123" s="4">
        <v>138</v>
      </c>
      <c r="D123" s="8">
        <v>2.92</v>
      </c>
      <c r="E123" s="4">
        <v>10</v>
      </c>
      <c r="F123" s="8">
        <v>0.55000000000000004</v>
      </c>
      <c r="G123" s="4">
        <v>128</v>
      </c>
      <c r="H123" s="8">
        <v>4.41</v>
      </c>
      <c r="I123" s="4">
        <v>0</v>
      </c>
    </row>
    <row r="124" spans="1:9" x14ac:dyDescent="0.2">
      <c r="A124" s="2">
        <v>11</v>
      </c>
      <c r="B124" s="1" t="s">
        <v>112</v>
      </c>
      <c r="C124" s="4">
        <v>136</v>
      </c>
      <c r="D124" s="8">
        <v>2.88</v>
      </c>
      <c r="E124" s="4">
        <v>84</v>
      </c>
      <c r="F124" s="8">
        <v>4.62</v>
      </c>
      <c r="G124" s="4">
        <v>51</v>
      </c>
      <c r="H124" s="8">
        <v>1.76</v>
      </c>
      <c r="I124" s="4">
        <v>1</v>
      </c>
    </row>
    <row r="125" spans="1:9" x14ac:dyDescent="0.2">
      <c r="A125" s="2">
        <v>12</v>
      </c>
      <c r="B125" s="1" t="s">
        <v>101</v>
      </c>
      <c r="C125" s="4">
        <v>121</v>
      </c>
      <c r="D125" s="8">
        <v>2.56</v>
      </c>
      <c r="E125" s="4">
        <v>18</v>
      </c>
      <c r="F125" s="8">
        <v>0.99</v>
      </c>
      <c r="G125" s="4">
        <v>103</v>
      </c>
      <c r="H125" s="8">
        <v>3.55</v>
      </c>
      <c r="I125" s="4">
        <v>0</v>
      </c>
    </row>
    <row r="126" spans="1:9" x14ac:dyDescent="0.2">
      <c r="A126" s="2">
        <v>13</v>
      </c>
      <c r="B126" s="1" t="s">
        <v>103</v>
      </c>
      <c r="C126" s="4">
        <v>108</v>
      </c>
      <c r="D126" s="8">
        <v>2.2799999999999998</v>
      </c>
      <c r="E126" s="4">
        <v>69</v>
      </c>
      <c r="F126" s="8">
        <v>3.8</v>
      </c>
      <c r="G126" s="4">
        <v>39</v>
      </c>
      <c r="H126" s="8">
        <v>1.34</v>
      </c>
      <c r="I126" s="4">
        <v>0</v>
      </c>
    </row>
    <row r="127" spans="1:9" x14ac:dyDescent="0.2">
      <c r="A127" s="2">
        <v>14</v>
      </c>
      <c r="B127" s="1" t="s">
        <v>118</v>
      </c>
      <c r="C127" s="4">
        <v>100</v>
      </c>
      <c r="D127" s="8">
        <v>2.11</v>
      </c>
      <c r="E127" s="4">
        <v>16</v>
      </c>
      <c r="F127" s="8">
        <v>0.88</v>
      </c>
      <c r="G127" s="4">
        <v>84</v>
      </c>
      <c r="H127" s="8">
        <v>2.89</v>
      </c>
      <c r="I127" s="4">
        <v>0</v>
      </c>
    </row>
    <row r="128" spans="1:9" x14ac:dyDescent="0.2">
      <c r="A128" s="2">
        <v>15</v>
      </c>
      <c r="B128" s="1" t="s">
        <v>117</v>
      </c>
      <c r="C128" s="4">
        <v>99</v>
      </c>
      <c r="D128" s="8">
        <v>2.09</v>
      </c>
      <c r="E128" s="4">
        <v>27</v>
      </c>
      <c r="F128" s="8">
        <v>1.49</v>
      </c>
      <c r="G128" s="4">
        <v>72</v>
      </c>
      <c r="H128" s="8">
        <v>2.48</v>
      </c>
      <c r="I128" s="4">
        <v>0</v>
      </c>
    </row>
    <row r="129" spans="1:9" x14ac:dyDescent="0.2">
      <c r="A129" s="2">
        <v>15</v>
      </c>
      <c r="B129" s="1" t="s">
        <v>102</v>
      </c>
      <c r="C129" s="4">
        <v>99</v>
      </c>
      <c r="D129" s="8">
        <v>2.09</v>
      </c>
      <c r="E129" s="4">
        <v>42</v>
      </c>
      <c r="F129" s="8">
        <v>2.31</v>
      </c>
      <c r="G129" s="4">
        <v>57</v>
      </c>
      <c r="H129" s="8">
        <v>1.96</v>
      </c>
      <c r="I129" s="4">
        <v>0</v>
      </c>
    </row>
    <row r="130" spans="1:9" x14ac:dyDescent="0.2">
      <c r="A130" s="2">
        <v>17</v>
      </c>
      <c r="B130" s="1" t="s">
        <v>97</v>
      </c>
      <c r="C130" s="4">
        <v>98</v>
      </c>
      <c r="D130" s="8">
        <v>2.0699999999999998</v>
      </c>
      <c r="E130" s="4">
        <v>27</v>
      </c>
      <c r="F130" s="8">
        <v>1.49</v>
      </c>
      <c r="G130" s="4">
        <v>71</v>
      </c>
      <c r="H130" s="8">
        <v>2.44</v>
      </c>
      <c r="I130" s="4">
        <v>0</v>
      </c>
    </row>
    <row r="131" spans="1:9" x14ac:dyDescent="0.2">
      <c r="A131" s="2">
        <v>18</v>
      </c>
      <c r="B131" s="1" t="s">
        <v>109</v>
      </c>
      <c r="C131" s="4">
        <v>94</v>
      </c>
      <c r="D131" s="8">
        <v>1.99</v>
      </c>
      <c r="E131" s="4">
        <v>32</v>
      </c>
      <c r="F131" s="8">
        <v>1.76</v>
      </c>
      <c r="G131" s="4">
        <v>62</v>
      </c>
      <c r="H131" s="8">
        <v>2.13</v>
      </c>
      <c r="I131" s="4">
        <v>0</v>
      </c>
    </row>
    <row r="132" spans="1:9" x14ac:dyDescent="0.2">
      <c r="A132" s="2">
        <v>19</v>
      </c>
      <c r="B132" s="1" t="s">
        <v>99</v>
      </c>
      <c r="C132" s="4">
        <v>93</v>
      </c>
      <c r="D132" s="8">
        <v>1.97</v>
      </c>
      <c r="E132" s="4">
        <v>4</v>
      </c>
      <c r="F132" s="8">
        <v>0.22</v>
      </c>
      <c r="G132" s="4">
        <v>89</v>
      </c>
      <c r="H132" s="8">
        <v>3.06</v>
      </c>
      <c r="I132" s="4">
        <v>0</v>
      </c>
    </row>
    <row r="133" spans="1:9" x14ac:dyDescent="0.2">
      <c r="A133" s="2">
        <v>20</v>
      </c>
      <c r="B133" s="1" t="s">
        <v>104</v>
      </c>
      <c r="C133" s="4">
        <v>92</v>
      </c>
      <c r="D133" s="8">
        <v>1.95</v>
      </c>
      <c r="E133" s="4">
        <v>40</v>
      </c>
      <c r="F133" s="8">
        <v>2.2000000000000002</v>
      </c>
      <c r="G133" s="4">
        <v>52</v>
      </c>
      <c r="H133" s="8">
        <v>1.79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110</v>
      </c>
      <c r="C136" s="4">
        <v>568</v>
      </c>
      <c r="D136" s="8">
        <v>10.83</v>
      </c>
      <c r="E136" s="4">
        <v>402</v>
      </c>
      <c r="F136" s="8">
        <v>22.92</v>
      </c>
      <c r="G136" s="4">
        <v>166</v>
      </c>
      <c r="H136" s="8">
        <v>4.78</v>
      </c>
      <c r="I136" s="4">
        <v>0</v>
      </c>
    </row>
    <row r="137" spans="1:9" x14ac:dyDescent="0.2">
      <c r="A137" s="2">
        <v>2</v>
      </c>
      <c r="B137" s="1" t="s">
        <v>107</v>
      </c>
      <c r="C137" s="4">
        <v>460</v>
      </c>
      <c r="D137" s="8">
        <v>8.77</v>
      </c>
      <c r="E137" s="4">
        <v>64</v>
      </c>
      <c r="F137" s="8">
        <v>3.65</v>
      </c>
      <c r="G137" s="4">
        <v>393</v>
      </c>
      <c r="H137" s="8">
        <v>11.32</v>
      </c>
      <c r="I137" s="4">
        <v>3</v>
      </c>
    </row>
    <row r="138" spans="1:9" x14ac:dyDescent="0.2">
      <c r="A138" s="2">
        <v>3</v>
      </c>
      <c r="B138" s="1" t="s">
        <v>111</v>
      </c>
      <c r="C138" s="4">
        <v>384</v>
      </c>
      <c r="D138" s="8">
        <v>7.32</v>
      </c>
      <c r="E138" s="4">
        <v>265</v>
      </c>
      <c r="F138" s="8">
        <v>15.11</v>
      </c>
      <c r="G138" s="4">
        <v>119</v>
      </c>
      <c r="H138" s="8">
        <v>3.43</v>
      </c>
      <c r="I138" s="4">
        <v>0</v>
      </c>
    </row>
    <row r="139" spans="1:9" x14ac:dyDescent="0.2">
      <c r="A139" s="2">
        <v>4</v>
      </c>
      <c r="B139" s="1" t="s">
        <v>108</v>
      </c>
      <c r="C139" s="4">
        <v>341</v>
      </c>
      <c r="D139" s="8">
        <v>6.5</v>
      </c>
      <c r="E139" s="4">
        <v>169</v>
      </c>
      <c r="F139" s="8">
        <v>9.64</v>
      </c>
      <c r="G139" s="4">
        <v>171</v>
      </c>
      <c r="H139" s="8">
        <v>4.92</v>
      </c>
      <c r="I139" s="4">
        <v>1</v>
      </c>
    </row>
    <row r="140" spans="1:9" x14ac:dyDescent="0.2">
      <c r="A140" s="2">
        <v>5</v>
      </c>
      <c r="B140" s="1" t="s">
        <v>105</v>
      </c>
      <c r="C140" s="4">
        <v>266</v>
      </c>
      <c r="D140" s="8">
        <v>5.07</v>
      </c>
      <c r="E140" s="4">
        <v>112</v>
      </c>
      <c r="F140" s="8">
        <v>6.39</v>
      </c>
      <c r="G140" s="4">
        <v>154</v>
      </c>
      <c r="H140" s="8">
        <v>4.43</v>
      </c>
      <c r="I140" s="4">
        <v>0</v>
      </c>
    </row>
    <row r="141" spans="1:9" x14ac:dyDescent="0.2">
      <c r="A141" s="2">
        <v>6</v>
      </c>
      <c r="B141" s="1" t="s">
        <v>100</v>
      </c>
      <c r="C141" s="4">
        <v>193</v>
      </c>
      <c r="D141" s="8">
        <v>3.68</v>
      </c>
      <c r="E141" s="4">
        <v>7</v>
      </c>
      <c r="F141" s="8">
        <v>0.4</v>
      </c>
      <c r="G141" s="4">
        <v>186</v>
      </c>
      <c r="H141" s="8">
        <v>5.36</v>
      </c>
      <c r="I141" s="4">
        <v>0</v>
      </c>
    </row>
    <row r="142" spans="1:9" x14ac:dyDescent="0.2">
      <c r="A142" s="2">
        <v>7</v>
      </c>
      <c r="B142" s="1" t="s">
        <v>113</v>
      </c>
      <c r="C142" s="4">
        <v>174</v>
      </c>
      <c r="D142" s="8">
        <v>3.32</v>
      </c>
      <c r="E142" s="4">
        <v>147</v>
      </c>
      <c r="F142" s="8">
        <v>8.3800000000000008</v>
      </c>
      <c r="G142" s="4">
        <v>27</v>
      </c>
      <c r="H142" s="8">
        <v>0.78</v>
      </c>
      <c r="I142" s="4">
        <v>0</v>
      </c>
    </row>
    <row r="143" spans="1:9" x14ac:dyDescent="0.2">
      <c r="A143" s="2">
        <v>8</v>
      </c>
      <c r="B143" s="1" t="s">
        <v>103</v>
      </c>
      <c r="C143" s="4">
        <v>172</v>
      </c>
      <c r="D143" s="8">
        <v>3.28</v>
      </c>
      <c r="E143" s="4">
        <v>79</v>
      </c>
      <c r="F143" s="8">
        <v>4.5</v>
      </c>
      <c r="G143" s="4">
        <v>93</v>
      </c>
      <c r="H143" s="8">
        <v>2.68</v>
      </c>
      <c r="I143" s="4">
        <v>0</v>
      </c>
    </row>
    <row r="144" spans="1:9" x14ac:dyDescent="0.2">
      <c r="A144" s="2">
        <v>9</v>
      </c>
      <c r="B144" s="1" t="s">
        <v>102</v>
      </c>
      <c r="C144" s="4">
        <v>169</v>
      </c>
      <c r="D144" s="8">
        <v>3.22</v>
      </c>
      <c r="E144" s="4">
        <v>33</v>
      </c>
      <c r="F144" s="8">
        <v>1.88</v>
      </c>
      <c r="G144" s="4">
        <v>136</v>
      </c>
      <c r="H144" s="8">
        <v>3.92</v>
      </c>
      <c r="I144" s="4">
        <v>0</v>
      </c>
    </row>
    <row r="145" spans="1:9" x14ac:dyDescent="0.2">
      <c r="A145" s="2">
        <v>10</v>
      </c>
      <c r="B145" s="1" t="s">
        <v>96</v>
      </c>
      <c r="C145" s="4">
        <v>168</v>
      </c>
      <c r="D145" s="8">
        <v>3.2</v>
      </c>
      <c r="E145" s="4">
        <v>15</v>
      </c>
      <c r="F145" s="8">
        <v>0.86</v>
      </c>
      <c r="G145" s="4">
        <v>153</v>
      </c>
      <c r="H145" s="8">
        <v>4.41</v>
      </c>
      <c r="I145" s="4">
        <v>0</v>
      </c>
    </row>
    <row r="146" spans="1:9" x14ac:dyDescent="0.2">
      <c r="A146" s="2">
        <v>11</v>
      </c>
      <c r="B146" s="1" t="s">
        <v>95</v>
      </c>
      <c r="C146" s="4">
        <v>158</v>
      </c>
      <c r="D146" s="8">
        <v>3.01</v>
      </c>
      <c r="E146" s="4">
        <v>14</v>
      </c>
      <c r="F146" s="8">
        <v>0.8</v>
      </c>
      <c r="G146" s="4">
        <v>143</v>
      </c>
      <c r="H146" s="8">
        <v>4.12</v>
      </c>
      <c r="I146" s="4">
        <v>1</v>
      </c>
    </row>
    <row r="147" spans="1:9" x14ac:dyDescent="0.2">
      <c r="A147" s="2">
        <v>11</v>
      </c>
      <c r="B147" s="1" t="s">
        <v>112</v>
      </c>
      <c r="C147" s="4">
        <v>158</v>
      </c>
      <c r="D147" s="8">
        <v>3.01</v>
      </c>
      <c r="E147" s="4">
        <v>85</v>
      </c>
      <c r="F147" s="8">
        <v>4.8499999999999996</v>
      </c>
      <c r="G147" s="4">
        <v>67</v>
      </c>
      <c r="H147" s="8">
        <v>1.93</v>
      </c>
      <c r="I147" s="4">
        <v>5</v>
      </c>
    </row>
    <row r="148" spans="1:9" x14ac:dyDescent="0.2">
      <c r="A148" s="2">
        <v>13</v>
      </c>
      <c r="B148" s="1" t="s">
        <v>99</v>
      </c>
      <c r="C148" s="4">
        <v>144</v>
      </c>
      <c r="D148" s="8">
        <v>2.75</v>
      </c>
      <c r="E148" s="4">
        <v>6</v>
      </c>
      <c r="F148" s="8">
        <v>0.34</v>
      </c>
      <c r="G148" s="4">
        <v>138</v>
      </c>
      <c r="H148" s="8">
        <v>3.97</v>
      </c>
      <c r="I148" s="4">
        <v>0</v>
      </c>
    </row>
    <row r="149" spans="1:9" x14ac:dyDescent="0.2">
      <c r="A149" s="2">
        <v>14</v>
      </c>
      <c r="B149" s="1" t="s">
        <v>101</v>
      </c>
      <c r="C149" s="4">
        <v>137</v>
      </c>
      <c r="D149" s="8">
        <v>2.61</v>
      </c>
      <c r="E149" s="4">
        <v>17</v>
      </c>
      <c r="F149" s="8">
        <v>0.97</v>
      </c>
      <c r="G149" s="4">
        <v>120</v>
      </c>
      <c r="H149" s="8">
        <v>3.46</v>
      </c>
      <c r="I149" s="4">
        <v>0</v>
      </c>
    </row>
    <row r="150" spans="1:9" x14ac:dyDescent="0.2">
      <c r="A150" s="2">
        <v>15</v>
      </c>
      <c r="B150" s="1" t="s">
        <v>94</v>
      </c>
      <c r="C150" s="4">
        <v>131</v>
      </c>
      <c r="D150" s="8">
        <v>2.5</v>
      </c>
      <c r="E150" s="4">
        <v>20</v>
      </c>
      <c r="F150" s="8">
        <v>1.1399999999999999</v>
      </c>
      <c r="G150" s="4">
        <v>111</v>
      </c>
      <c r="H150" s="8">
        <v>3.2</v>
      </c>
      <c r="I150" s="4">
        <v>0</v>
      </c>
    </row>
    <row r="151" spans="1:9" x14ac:dyDescent="0.2">
      <c r="A151" s="2">
        <v>16</v>
      </c>
      <c r="B151" s="1" t="s">
        <v>114</v>
      </c>
      <c r="C151" s="4">
        <v>118</v>
      </c>
      <c r="D151" s="8">
        <v>2.25</v>
      </c>
      <c r="E151" s="4">
        <v>8</v>
      </c>
      <c r="F151" s="8">
        <v>0.46</v>
      </c>
      <c r="G151" s="4">
        <v>106</v>
      </c>
      <c r="H151" s="8">
        <v>3.05</v>
      </c>
      <c r="I151" s="4">
        <v>3</v>
      </c>
    </row>
    <row r="152" spans="1:9" x14ac:dyDescent="0.2">
      <c r="A152" s="2">
        <v>17</v>
      </c>
      <c r="B152" s="1" t="s">
        <v>118</v>
      </c>
      <c r="C152" s="4">
        <v>112</v>
      </c>
      <c r="D152" s="8">
        <v>2.14</v>
      </c>
      <c r="E152" s="4">
        <v>28</v>
      </c>
      <c r="F152" s="8">
        <v>1.6</v>
      </c>
      <c r="G152" s="4">
        <v>84</v>
      </c>
      <c r="H152" s="8">
        <v>2.42</v>
      </c>
      <c r="I152" s="4">
        <v>0</v>
      </c>
    </row>
    <row r="153" spans="1:9" x14ac:dyDescent="0.2">
      <c r="A153" s="2">
        <v>18</v>
      </c>
      <c r="B153" s="1" t="s">
        <v>115</v>
      </c>
      <c r="C153" s="4">
        <v>106</v>
      </c>
      <c r="D153" s="8">
        <v>2.02</v>
      </c>
      <c r="E153" s="4">
        <v>19</v>
      </c>
      <c r="F153" s="8">
        <v>1.08</v>
      </c>
      <c r="G153" s="4">
        <v>86</v>
      </c>
      <c r="H153" s="8">
        <v>2.48</v>
      </c>
      <c r="I153" s="4">
        <v>1</v>
      </c>
    </row>
    <row r="154" spans="1:9" x14ac:dyDescent="0.2">
      <c r="A154" s="2">
        <v>19</v>
      </c>
      <c r="B154" s="1" t="s">
        <v>109</v>
      </c>
      <c r="C154" s="4">
        <v>92</v>
      </c>
      <c r="D154" s="8">
        <v>1.75</v>
      </c>
      <c r="E154" s="4">
        <v>26</v>
      </c>
      <c r="F154" s="8">
        <v>1.48</v>
      </c>
      <c r="G154" s="4">
        <v>66</v>
      </c>
      <c r="H154" s="8">
        <v>1.9</v>
      </c>
      <c r="I154" s="4">
        <v>0</v>
      </c>
    </row>
    <row r="155" spans="1:9" x14ac:dyDescent="0.2">
      <c r="A155" s="2">
        <v>20</v>
      </c>
      <c r="B155" s="1" t="s">
        <v>106</v>
      </c>
      <c r="C155" s="4">
        <v>90</v>
      </c>
      <c r="D155" s="8">
        <v>1.72</v>
      </c>
      <c r="E155" s="4">
        <v>12</v>
      </c>
      <c r="F155" s="8">
        <v>0.68</v>
      </c>
      <c r="G155" s="4">
        <v>78</v>
      </c>
      <c r="H155" s="8">
        <v>2.25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110</v>
      </c>
      <c r="C158" s="4">
        <v>1600</v>
      </c>
      <c r="D158" s="8">
        <v>17.87</v>
      </c>
      <c r="E158" s="4">
        <v>1148</v>
      </c>
      <c r="F158" s="8">
        <v>39.07</v>
      </c>
      <c r="G158" s="4">
        <v>452</v>
      </c>
      <c r="H158" s="8">
        <v>7.55</v>
      </c>
      <c r="I158" s="4">
        <v>0</v>
      </c>
    </row>
    <row r="159" spans="1:9" x14ac:dyDescent="0.2">
      <c r="A159" s="2">
        <v>2</v>
      </c>
      <c r="B159" s="1" t="s">
        <v>108</v>
      </c>
      <c r="C159" s="4">
        <v>954</v>
      </c>
      <c r="D159" s="8">
        <v>10.66</v>
      </c>
      <c r="E159" s="4">
        <v>598</v>
      </c>
      <c r="F159" s="8">
        <v>20.350000000000001</v>
      </c>
      <c r="G159" s="4">
        <v>354</v>
      </c>
      <c r="H159" s="8">
        <v>5.91</v>
      </c>
      <c r="I159" s="4">
        <v>2</v>
      </c>
    </row>
    <row r="160" spans="1:9" x14ac:dyDescent="0.2">
      <c r="A160" s="2">
        <v>3</v>
      </c>
      <c r="B160" s="1" t="s">
        <v>107</v>
      </c>
      <c r="C160" s="4">
        <v>739</v>
      </c>
      <c r="D160" s="8">
        <v>8.25</v>
      </c>
      <c r="E160" s="4">
        <v>55</v>
      </c>
      <c r="F160" s="8">
        <v>1.87</v>
      </c>
      <c r="G160" s="4">
        <v>682</v>
      </c>
      <c r="H160" s="8">
        <v>11.39</v>
      </c>
      <c r="I160" s="4">
        <v>2</v>
      </c>
    </row>
    <row r="161" spans="1:9" x14ac:dyDescent="0.2">
      <c r="A161" s="2">
        <v>4</v>
      </c>
      <c r="B161" s="1" t="s">
        <v>105</v>
      </c>
      <c r="C161" s="4">
        <v>481</v>
      </c>
      <c r="D161" s="8">
        <v>5.37</v>
      </c>
      <c r="E161" s="4">
        <v>183</v>
      </c>
      <c r="F161" s="8">
        <v>6.23</v>
      </c>
      <c r="G161" s="4">
        <v>298</v>
      </c>
      <c r="H161" s="8">
        <v>4.97</v>
      </c>
      <c r="I161" s="4">
        <v>0</v>
      </c>
    </row>
    <row r="162" spans="1:9" x14ac:dyDescent="0.2">
      <c r="A162" s="2">
        <v>5</v>
      </c>
      <c r="B162" s="1" t="s">
        <v>111</v>
      </c>
      <c r="C162" s="4">
        <v>446</v>
      </c>
      <c r="D162" s="8">
        <v>4.9800000000000004</v>
      </c>
      <c r="E162" s="4">
        <v>255</v>
      </c>
      <c r="F162" s="8">
        <v>8.68</v>
      </c>
      <c r="G162" s="4">
        <v>191</v>
      </c>
      <c r="H162" s="8">
        <v>3.19</v>
      </c>
      <c r="I162" s="4">
        <v>0</v>
      </c>
    </row>
    <row r="163" spans="1:9" x14ac:dyDescent="0.2">
      <c r="A163" s="2">
        <v>6</v>
      </c>
      <c r="B163" s="1" t="s">
        <v>102</v>
      </c>
      <c r="C163" s="4">
        <v>435</v>
      </c>
      <c r="D163" s="8">
        <v>4.8600000000000003</v>
      </c>
      <c r="E163" s="4">
        <v>86</v>
      </c>
      <c r="F163" s="8">
        <v>2.93</v>
      </c>
      <c r="G163" s="4">
        <v>349</v>
      </c>
      <c r="H163" s="8">
        <v>5.83</v>
      </c>
      <c r="I163" s="4">
        <v>0</v>
      </c>
    </row>
    <row r="164" spans="1:9" x14ac:dyDescent="0.2">
      <c r="A164" s="2">
        <v>7</v>
      </c>
      <c r="B164" s="1" t="s">
        <v>100</v>
      </c>
      <c r="C164" s="4">
        <v>310</v>
      </c>
      <c r="D164" s="8">
        <v>3.46</v>
      </c>
      <c r="E164" s="4">
        <v>6</v>
      </c>
      <c r="F164" s="8">
        <v>0.2</v>
      </c>
      <c r="G164" s="4">
        <v>304</v>
      </c>
      <c r="H164" s="8">
        <v>5.08</v>
      </c>
      <c r="I164" s="4">
        <v>0</v>
      </c>
    </row>
    <row r="165" spans="1:9" x14ac:dyDescent="0.2">
      <c r="A165" s="2">
        <v>8</v>
      </c>
      <c r="B165" s="1" t="s">
        <v>99</v>
      </c>
      <c r="C165" s="4">
        <v>266</v>
      </c>
      <c r="D165" s="8">
        <v>2.97</v>
      </c>
      <c r="E165" s="4">
        <v>6</v>
      </c>
      <c r="F165" s="8">
        <v>0.2</v>
      </c>
      <c r="G165" s="4">
        <v>260</v>
      </c>
      <c r="H165" s="8">
        <v>4.34</v>
      </c>
      <c r="I165" s="4">
        <v>0</v>
      </c>
    </row>
    <row r="166" spans="1:9" x14ac:dyDescent="0.2">
      <c r="A166" s="2">
        <v>9</v>
      </c>
      <c r="B166" s="1" t="s">
        <v>101</v>
      </c>
      <c r="C166" s="4">
        <v>253</v>
      </c>
      <c r="D166" s="8">
        <v>2.83</v>
      </c>
      <c r="E166" s="4">
        <v>19</v>
      </c>
      <c r="F166" s="8">
        <v>0.65</v>
      </c>
      <c r="G166" s="4">
        <v>234</v>
      </c>
      <c r="H166" s="8">
        <v>3.91</v>
      </c>
      <c r="I166" s="4">
        <v>0</v>
      </c>
    </row>
    <row r="167" spans="1:9" x14ac:dyDescent="0.2">
      <c r="A167" s="2">
        <v>10</v>
      </c>
      <c r="B167" s="1" t="s">
        <v>109</v>
      </c>
      <c r="C167" s="4">
        <v>234</v>
      </c>
      <c r="D167" s="8">
        <v>2.61</v>
      </c>
      <c r="E167" s="4">
        <v>37</v>
      </c>
      <c r="F167" s="8">
        <v>1.26</v>
      </c>
      <c r="G167" s="4">
        <v>196</v>
      </c>
      <c r="H167" s="8">
        <v>3.27</v>
      </c>
      <c r="I167" s="4">
        <v>1</v>
      </c>
    </row>
    <row r="168" spans="1:9" x14ac:dyDescent="0.2">
      <c r="A168" s="2">
        <v>11</v>
      </c>
      <c r="B168" s="1" t="s">
        <v>112</v>
      </c>
      <c r="C168" s="4">
        <v>224</v>
      </c>
      <c r="D168" s="8">
        <v>2.5</v>
      </c>
      <c r="E168" s="4">
        <v>92</v>
      </c>
      <c r="F168" s="8">
        <v>3.13</v>
      </c>
      <c r="G168" s="4">
        <v>127</v>
      </c>
      <c r="H168" s="8">
        <v>2.12</v>
      </c>
      <c r="I168" s="4">
        <v>4</v>
      </c>
    </row>
    <row r="169" spans="1:9" x14ac:dyDescent="0.2">
      <c r="A169" s="2">
        <v>12</v>
      </c>
      <c r="B169" s="1" t="s">
        <v>114</v>
      </c>
      <c r="C169" s="4">
        <v>212</v>
      </c>
      <c r="D169" s="8">
        <v>2.37</v>
      </c>
      <c r="E169" s="4">
        <v>18</v>
      </c>
      <c r="F169" s="8">
        <v>0.61</v>
      </c>
      <c r="G169" s="4">
        <v>188</v>
      </c>
      <c r="H169" s="8">
        <v>3.14</v>
      </c>
      <c r="I169" s="4">
        <v>4</v>
      </c>
    </row>
    <row r="170" spans="1:9" x14ac:dyDescent="0.2">
      <c r="A170" s="2">
        <v>13</v>
      </c>
      <c r="B170" s="1" t="s">
        <v>113</v>
      </c>
      <c r="C170" s="4">
        <v>205</v>
      </c>
      <c r="D170" s="8">
        <v>2.29</v>
      </c>
      <c r="E170" s="4">
        <v>157</v>
      </c>
      <c r="F170" s="8">
        <v>5.34</v>
      </c>
      <c r="G170" s="4">
        <v>48</v>
      </c>
      <c r="H170" s="8">
        <v>0.8</v>
      </c>
      <c r="I170" s="4">
        <v>0</v>
      </c>
    </row>
    <row r="171" spans="1:9" x14ac:dyDescent="0.2">
      <c r="A171" s="2">
        <v>14</v>
      </c>
      <c r="B171" s="1" t="s">
        <v>119</v>
      </c>
      <c r="C171" s="4">
        <v>202</v>
      </c>
      <c r="D171" s="8">
        <v>2.2599999999999998</v>
      </c>
      <c r="E171" s="4">
        <v>3</v>
      </c>
      <c r="F171" s="8">
        <v>0.1</v>
      </c>
      <c r="G171" s="4">
        <v>199</v>
      </c>
      <c r="H171" s="8">
        <v>3.32</v>
      </c>
      <c r="I171" s="4">
        <v>0</v>
      </c>
    </row>
    <row r="172" spans="1:9" x14ac:dyDescent="0.2">
      <c r="A172" s="2">
        <v>15</v>
      </c>
      <c r="B172" s="1" t="s">
        <v>106</v>
      </c>
      <c r="C172" s="4">
        <v>198</v>
      </c>
      <c r="D172" s="8">
        <v>2.21</v>
      </c>
      <c r="E172" s="4">
        <v>8</v>
      </c>
      <c r="F172" s="8">
        <v>0.27</v>
      </c>
      <c r="G172" s="4">
        <v>190</v>
      </c>
      <c r="H172" s="8">
        <v>3.17</v>
      </c>
      <c r="I172" s="4">
        <v>0</v>
      </c>
    </row>
    <row r="173" spans="1:9" x14ac:dyDescent="0.2">
      <c r="A173" s="2">
        <v>16</v>
      </c>
      <c r="B173" s="1" t="s">
        <v>103</v>
      </c>
      <c r="C173" s="4">
        <v>144</v>
      </c>
      <c r="D173" s="8">
        <v>1.61</v>
      </c>
      <c r="E173" s="4">
        <v>55</v>
      </c>
      <c r="F173" s="8">
        <v>1.87</v>
      </c>
      <c r="G173" s="4">
        <v>87</v>
      </c>
      <c r="H173" s="8">
        <v>1.45</v>
      </c>
      <c r="I173" s="4">
        <v>2</v>
      </c>
    </row>
    <row r="174" spans="1:9" x14ac:dyDescent="0.2">
      <c r="A174" s="2">
        <v>17</v>
      </c>
      <c r="B174" s="1" t="s">
        <v>94</v>
      </c>
      <c r="C174" s="4">
        <v>141</v>
      </c>
      <c r="D174" s="8">
        <v>1.57</v>
      </c>
      <c r="E174" s="4">
        <v>0</v>
      </c>
      <c r="F174" s="8">
        <v>0</v>
      </c>
      <c r="G174" s="4">
        <v>141</v>
      </c>
      <c r="H174" s="8">
        <v>2.35</v>
      </c>
      <c r="I174" s="4">
        <v>0</v>
      </c>
    </row>
    <row r="175" spans="1:9" x14ac:dyDescent="0.2">
      <c r="A175" s="2">
        <v>18</v>
      </c>
      <c r="B175" s="1" t="s">
        <v>115</v>
      </c>
      <c r="C175" s="4">
        <v>136</v>
      </c>
      <c r="D175" s="8">
        <v>1.52</v>
      </c>
      <c r="E175" s="4">
        <v>26</v>
      </c>
      <c r="F175" s="8">
        <v>0.88</v>
      </c>
      <c r="G175" s="4">
        <v>110</v>
      </c>
      <c r="H175" s="8">
        <v>1.84</v>
      </c>
      <c r="I175" s="4">
        <v>0</v>
      </c>
    </row>
    <row r="176" spans="1:9" x14ac:dyDescent="0.2">
      <c r="A176" s="2">
        <v>19</v>
      </c>
      <c r="B176" s="1" t="s">
        <v>120</v>
      </c>
      <c r="C176" s="4">
        <v>124</v>
      </c>
      <c r="D176" s="8">
        <v>1.39</v>
      </c>
      <c r="E176" s="4">
        <v>0</v>
      </c>
      <c r="F176" s="8">
        <v>0</v>
      </c>
      <c r="G176" s="4">
        <v>123</v>
      </c>
      <c r="H176" s="8">
        <v>2.0499999999999998</v>
      </c>
      <c r="I176" s="4">
        <v>1</v>
      </c>
    </row>
    <row r="177" spans="1:9" x14ac:dyDescent="0.2">
      <c r="A177" s="2">
        <v>20</v>
      </c>
      <c r="B177" s="1" t="s">
        <v>95</v>
      </c>
      <c r="C177" s="4">
        <v>123</v>
      </c>
      <c r="D177" s="8">
        <v>1.37</v>
      </c>
      <c r="E177" s="4">
        <v>7</v>
      </c>
      <c r="F177" s="8">
        <v>0.24</v>
      </c>
      <c r="G177" s="4">
        <v>116</v>
      </c>
      <c r="H177" s="8">
        <v>1.94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107</v>
      </c>
      <c r="C180" s="4">
        <v>490</v>
      </c>
      <c r="D180" s="8">
        <v>15.92</v>
      </c>
      <c r="E180" s="4">
        <v>153</v>
      </c>
      <c r="F180" s="8">
        <v>11.71</v>
      </c>
      <c r="G180" s="4">
        <v>336</v>
      </c>
      <c r="H180" s="8">
        <v>19</v>
      </c>
      <c r="I180" s="4">
        <v>1</v>
      </c>
    </row>
    <row r="181" spans="1:9" x14ac:dyDescent="0.2">
      <c r="A181" s="2">
        <v>2</v>
      </c>
      <c r="B181" s="1" t="s">
        <v>110</v>
      </c>
      <c r="C181" s="4">
        <v>335</v>
      </c>
      <c r="D181" s="8">
        <v>10.88</v>
      </c>
      <c r="E181" s="4">
        <v>257</v>
      </c>
      <c r="F181" s="8">
        <v>19.66</v>
      </c>
      <c r="G181" s="4">
        <v>78</v>
      </c>
      <c r="H181" s="8">
        <v>4.41</v>
      </c>
      <c r="I181" s="4">
        <v>0</v>
      </c>
    </row>
    <row r="182" spans="1:9" x14ac:dyDescent="0.2">
      <c r="A182" s="2">
        <v>3</v>
      </c>
      <c r="B182" s="1" t="s">
        <v>111</v>
      </c>
      <c r="C182" s="4">
        <v>267</v>
      </c>
      <c r="D182" s="8">
        <v>8.67</v>
      </c>
      <c r="E182" s="4">
        <v>203</v>
      </c>
      <c r="F182" s="8">
        <v>15.53</v>
      </c>
      <c r="G182" s="4">
        <v>64</v>
      </c>
      <c r="H182" s="8">
        <v>3.62</v>
      </c>
      <c r="I182" s="4">
        <v>0</v>
      </c>
    </row>
    <row r="183" spans="1:9" x14ac:dyDescent="0.2">
      <c r="A183" s="2">
        <v>4</v>
      </c>
      <c r="B183" s="1" t="s">
        <v>105</v>
      </c>
      <c r="C183" s="4">
        <v>173</v>
      </c>
      <c r="D183" s="8">
        <v>5.62</v>
      </c>
      <c r="E183" s="4">
        <v>91</v>
      </c>
      <c r="F183" s="8">
        <v>6.96</v>
      </c>
      <c r="G183" s="4">
        <v>82</v>
      </c>
      <c r="H183" s="8">
        <v>4.6399999999999997</v>
      </c>
      <c r="I183" s="4">
        <v>0</v>
      </c>
    </row>
    <row r="184" spans="1:9" x14ac:dyDescent="0.2">
      <c r="A184" s="2">
        <v>5</v>
      </c>
      <c r="B184" s="1" t="s">
        <v>108</v>
      </c>
      <c r="C184" s="4">
        <v>162</v>
      </c>
      <c r="D184" s="8">
        <v>5.26</v>
      </c>
      <c r="E184" s="4">
        <v>92</v>
      </c>
      <c r="F184" s="8">
        <v>7.04</v>
      </c>
      <c r="G184" s="4">
        <v>69</v>
      </c>
      <c r="H184" s="8">
        <v>3.9</v>
      </c>
      <c r="I184" s="4">
        <v>1</v>
      </c>
    </row>
    <row r="185" spans="1:9" x14ac:dyDescent="0.2">
      <c r="A185" s="2">
        <v>6</v>
      </c>
      <c r="B185" s="1" t="s">
        <v>113</v>
      </c>
      <c r="C185" s="4">
        <v>126</v>
      </c>
      <c r="D185" s="8">
        <v>4.09</v>
      </c>
      <c r="E185" s="4">
        <v>95</v>
      </c>
      <c r="F185" s="8">
        <v>7.27</v>
      </c>
      <c r="G185" s="4">
        <v>31</v>
      </c>
      <c r="H185" s="8">
        <v>1.75</v>
      </c>
      <c r="I185" s="4">
        <v>0</v>
      </c>
    </row>
    <row r="186" spans="1:9" x14ac:dyDescent="0.2">
      <c r="A186" s="2">
        <v>7</v>
      </c>
      <c r="B186" s="1" t="s">
        <v>112</v>
      </c>
      <c r="C186" s="4">
        <v>124</v>
      </c>
      <c r="D186" s="8">
        <v>4.03</v>
      </c>
      <c r="E186" s="4">
        <v>76</v>
      </c>
      <c r="F186" s="8">
        <v>5.81</v>
      </c>
      <c r="G186" s="4">
        <v>48</v>
      </c>
      <c r="H186" s="8">
        <v>2.71</v>
      </c>
      <c r="I186" s="4">
        <v>0</v>
      </c>
    </row>
    <row r="187" spans="1:9" x14ac:dyDescent="0.2">
      <c r="A187" s="2">
        <v>8</v>
      </c>
      <c r="B187" s="1" t="s">
        <v>103</v>
      </c>
      <c r="C187" s="4">
        <v>104</v>
      </c>
      <c r="D187" s="8">
        <v>3.38</v>
      </c>
      <c r="E187" s="4">
        <v>60</v>
      </c>
      <c r="F187" s="8">
        <v>4.59</v>
      </c>
      <c r="G187" s="4">
        <v>44</v>
      </c>
      <c r="H187" s="8">
        <v>2.4900000000000002</v>
      </c>
      <c r="I187" s="4">
        <v>0</v>
      </c>
    </row>
    <row r="188" spans="1:9" x14ac:dyDescent="0.2">
      <c r="A188" s="2">
        <v>9</v>
      </c>
      <c r="B188" s="1" t="s">
        <v>94</v>
      </c>
      <c r="C188" s="4">
        <v>92</v>
      </c>
      <c r="D188" s="8">
        <v>2.99</v>
      </c>
      <c r="E188" s="4">
        <v>9</v>
      </c>
      <c r="F188" s="8">
        <v>0.69</v>
      </c>
      <c r="G188" s="4">
        <v>83</v>
      </c>
      <c r="H188" s="8">
        <v>4.6900000000000004</v>
      </c>
      <c r="I188" s="4">
        <v>0</v>
      </c>
    </row>
    <row r="189" spans="1:9" x14ac:dyDescent="0.2">
      <c r="A189" s="2">
        <v>10</v>
      </c>
      <c r="B189" s="1" t="s">
        <v>109</v>
      </c>
      <c r="C189" s="4">
        <v>86</v>
      </c>
      <c r="D189" s="8">
        <v>2.79</v>
      </c>
      <c r="E189" s="4">
        <v>34</v>
      </c>
      <c r="F189" s="8">
        <v>2.6</v>
      </c>
      <c r="G189" s="4">
        <v>52</v>
      </c>
      <c r="H189" s="8">
        <v>2.94</v>
      </c>
      <c r="I189" s="4">
        <v>0</v>
      </c>
    </row>
    <row r="190" spans="1:9" x14ac:dyDescent="0.2">
      <c r="A190" s="2">
        <v>11</v>
      </c>
      <c r="B190" s="1" t="s">
        <v>106</v>
      </c>
      <c r="C190" s="4">
        <v>75</v>
      </c>
      <c r="D190" s="8">
        <v>2.44</v>
      </c>
      <c r="E190" s="4">
        <v>14</v>
      </c>
      <c r="F190" s="8">
        <v>1.07</v>
      </c>
      <c r="G190" s="4">
        <v>61</v>
      </c>
      <c r="H190" s="8">
        <v>3.45</v>
      </c>
      <c r="I190" s="4">
        <v>0</v>
      </c>
    </row>
    <row r="191" spans="1:9" x14ac:dyDescent="0.2">
      <c r="A191" s="2">
        <v>12</v>
      </c>
      <c r="B191" s="1" t="s">
        <v>100</v>
      </c>
      <c r="C191" s="4">
        <v>73</v>
      </c>
      <c r="D191" s="8">
        <v>2.37</v>
      </c>
      <c r="E191" s="4">
        <v>9</v>
      </c>
      <c r="F191" s="8">
        <v>0.69</v>
      </c>
      <c r="G191" s="4">
        <v>64</v>
      </c>
      <c r="H191" s="8">
        <v>3.62</v>
      </c>
      <c r="I191" s="4">
        <v>0</v>
      </c>
    </row>
    <row r="192" spans="1:9" x14ac:dyDescent="0.2">
      <c r="A192" s="2">
        <v>13</v>
      </c>
      <c r="B192" s="1" t="s">
        <v>95</v>
      </c>
      <c r="C192" s="4">
        <v>72</v>
      </c>
      <c r="D192" s="8">
        <v>2.34</v>
      </c>
      <c r="E192" s="4">
        <v>7</v>
      </c>
      <c r="F192" s="8">
        <v>0.54</v>
      </c>
      <c r="G192" s="4">
        <v>65</v>
      </c>
      <c r="H192" s="8">
        <v>3.68</v>
      </c>
      <c r="I192" s="4">
        <v>0</v>
      </c>
    </row>
    <row r="193" spans="1:9" x14ac:dyDescent="0.2">
      <c r="A193" s="2">
        <v>14</v>
      </c>
      <c r="B193" s="1" t="s">
        <v>96</v>
      </c>
      <c r="C193" s="4">
        <v>69</v>
      </c>
      <c r="D193" s="8">
        <v>2.2400000000000002</v>
      </c>
      <c r="E193" s="4">
        <v>9</v>
      </c>
      <c r="F193" s="8">
        <v>0.69</v>
      </c>
      <c r="G193" s="4">
        <v>60</v>
      </c>
      <c r="H193" s="8">
        <v>3.39</v>
      </c>
      <c r="I193" s="4">
        <v>0</v>
      </c>
    </row>
    <row r="194" spans="1:9" x14ac:dyDescent="0.2">
      <c r="A194" s="2">
        <v>15</v>
      </c>
      <c r="B194" s="1" t="s">
        <v>101</v>
      </c>
      <c r="C194" s="4">
        <v>68</v>
      </c>
      <c r="D194" s="8">
        <v>2.21</v>
      </c>
      <c r="E194" s="4">
        <v>13</v>
      </c>
      <c r="F194" s="8">
        <v>0.99</v>
      </c>
      <c r="G194" s="4">
        <v>55</v>
      </c>
      <c r="H194" s="8">
        <v>3.11</v>
      </c>
      <c r="I194" s="4">
        <v>0</v>
      </c>
    </row>
    <row r="195" spans="1:9" x14ac:dyDescent="0.2">
      <c r="A195" s="2">
        <v>16</v>
      </c>
      <c r="B195" s="1" t="s">
        <v>102</v>
      </c>
      <c r="C195" s="4">
        <v>67</v>
      </c>
      <c r="D195" s="8">
        <v>2.1800000000000002</v>
      </c>
      <c r="E195" s="4">
        <v>30</v>
      </c>
      <c r="F195" s="8">
        <v>2.2999999999999998</v>
      </c>
      <c r="G195" s="4">
        <v>37</v>
      </c>
      <c r="H195" s="8">
        <v>2.09</v>
      </c>
      <c r="I195" s="4">
        <v>0</v>
      </c>
    </row>
    <row r="196" spans="1:9" x14ac:dyDescent="0.2">
      <c r="A196" s="2">
        <v>17</v>
      </c>
      <c r="B196" s="1" t="s">
        <v>117</v>
      </c>
      <c r="C196" s="4">
        <v>55</v>
      </c>
      <c r="D196" s="8">
        <v>1.79</v>
      </c>
      <c r="E196" s="4">
        <v>15</v>
      </c>
      <c r="F196" s="8">
        <v>1.1499999999999999</v>
      </c>
      <c r="G196" s="4">
        <v>40</v>
      </c>
      <c r="H196" s="8">
        <v>2.2599999999999998</v>
      </c>
      <c r="I196" s="4">
        <v>0</v>
      </c>
    </row>
    <row r="197" spans="1:9" x14ac:dyDescent="0.2">
      <c r="A197" s="2">
        <v>18</v>
      </c>
      <c r="B197" s="1" t="s">
        <v>104</v>
      </c>
      <c r="C197" s="4">
        <v>52</v>
      </c>
      <c r="D197" s="8">
        <v>1.69</v>
      </c>
      <c r="E197" s="4">
        <v>26</v>
      </c>
      <c r="F197" s="8">
        <v>1.99</v>
      </c>
      <c r="G197" s="4">
        <v>26</v>
      </c>
      <c r="H197" s="8">
        <v>1.47</v>
      </c>
      <c r="I197" s="4">
        <v>0</v>
      </c>
    </row>
    <row r="198" spans="1:9" x14ac:dyDescent="0.2">
      <c r="A198" s="2">
        <v>19</v>
      </c>
      <c r="B198" s="1" t="s">
        <v>99</v>
      </c>
      <c r="C198" s="4">
        <v>39</v>
      </c>
      <c r="D198" s="8">
        <v>1.27</v>
      </c>
      <c r="E198" s="4">
        <v>2</v>
      </c>
      <c r="F198" s="8">
        <v>0.15</v>
      </c>
      <c r="G198" s="4">
        <v>37</v>
      </c>
      <c r="H198" s="8">
        <v>2.09</v>
      </c>
      <c r="I198" s="4">
        <v>0</v>
      </c>
    </row>
    <row r="199" spans="1:9" x14ac:dyDescent="0.2">
      <c r="A199" s="2">
        <v>20</v>
      </c>
      <c r="B199" s="1" t="s">
        <v>115</v>
      </c>
      <c r="C199" s="4">
        <v>38</v>
      </c>
      <c r="D199" s="8">
        <v>1.23</v>
      </c>
      <c r="E199" s="4">
        <v>14</v>
      </c>
      <c r="F199" s="8">
        <v>1.07</v>
      </c>
      <c r="G199" s="4">
        <v>24</v>
      </c>
      <c r="H199" s="8">
        <v>1.36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107</v>
      </c>
      <c r="C202" s="4">
        <v>410</v>
      </c>
      <c r="D202" s="8">
        <v>15.95</v>
      </c>
      <c r="E202" s="4">
        <v>135</v>
      </c>
      <c r="F202" s="8">
        <v>11.95</v>
      </c>
      <c r="G202" s="4">
        <v>275</v>
      </c>
      <c r="H202" s="8">
        <v>19.100000000000001</v>
      </c>
      <c r="I202" s="4">
        <v>0</v>
      </c>
    </row>
    <row r="203" spans="1:9" x14ac:dyDescent="0.2">
      <c r="A203" s="2">
        <v>2</v>
      </c>
      <c r="B203" s="1" t="s">
        <v>110</v>
      </c>
      <c r="C203" s="4">
        <v>264</v>
      </c>
      <c r="D203" s="8">
        <v>10.27</v>
      </c>
      <c r="E203" s="4">
        <v>223</v>
      </c>
      <c r="F203" s="8">
        <v>19.73</v>
      </c>
      <c r="G203" s="4">
        <v>41</v>
      </c>
      <c r="H203" s="8">
        <v>2.85</v>
      </c>
      <c r="I203" s="4">
        <v>0</v>
      </c>
    </row>
    <row r="204" spans="1:9" x14ac:dyDescent="0.2">
      <c r="A204" s="2">
        <v>3</v>
      </c>
      <c r="B204" s="1" t="s">
        <v>111</v>
      </c>
      <c r="C204" s="4">
        <v>221</v>
      </c>
      <c r="D204" s="8">
        <v>8.6</v>
      </c>
      <c r="E204" s="4">
        <v>167</v>
      </c>
      <c r="F204" s="8">
        <v>14.78</v>
      </c>
      <c r="G204" s="4">
        <v>54</v>
      </c>
      <c r="H204" s="8">
        <v>3.75</v>
      </c>
      <c r="I204" s="4">
        <v>0</v>
      </c>
    </row>
    <row r="205" spans="1:9" x14ac:dyDescent="0.2">
      <c r="A205" s="2">
        <v>4</v>
      </c>
      <c r="B205" s="1" t="s">
        <v>112</v>
      </c>
      <c r="C205" s="4">
        <v>145</v>
      </c>
      <c r="D205" s="8">
        <v>5.64</v>
      </c>
      <c r="E205" s="4">
        <v>96</v>
      </c>
      <c r="F205" s="8">
        <v>8.5</v>
      </c>
      <c r="G205" s="4">
        <v>49</v>
      </c>
      <c r="H205" s="8">
        <v>3.4</v>
      </c>
      <c r="I205" s="4">
        <v>0</v>
      </c>
    </row>
    <row r="206" spans="1:9" x14ac:dyDescent="0.2">
      <c r="A206" s="2">
        <v>5</v>
      </c>
      <c r="B206" s="1" t="s">
        <v>105</v>
      </c>
      <c r="C206" s="4">
        <v>141</v>
      </c>
      <c r="D206" s="8">
        <v>5.49</v>
      </c>
      <c r="E206" s="4">
        <v>70</v>
      </c>
      <c r="F206" s="8">
        <v>6.19</v>
      </c>
      <c r="G206" s="4">
        <v>71</v>
      </c>
      <c r="H206" s="8">
        <v>4.93</v>
      </c>
      <c r="I206" s="4">
        <v>0</v>
      </c>
    </row>
    <row r="207" spans="1:9" x14ac:dyDescent="0.2">
      <c r="A207" s="2">
        <v>6</v>
      </c>
      <c r="B207" s="1" t="s">
        <v>108</v>
      </c>
      <c r="C207" s="4">
        <v>135</v>
      </c>
      <c r="D207" s="8">
        <v>5.25</v>
      </c>
      <c r="E207" s="4">
        <v>85</v>
      </c>
      <c r="F207" s="8">
        <v>7.52</v>
      </c>
      <c r="G207" s="4">
        <v>50</v>
      </c>
      <c r="H207" s="8">
        <v>3.47</v>
      </c>
      <c r="I207" s="4">
        <v>0</v>
      </c>
    </row>
    <row r="208" spans="1:9" x14ac:dyDescent="0.2">
      <c r="A208" s="2">
        <v>7</v>
      </c>
      <c r="B208" s="1" t="s">
        <v>113</v>
      </c>
      <c r="C208" s="4">
        <v>108</v>
      </c>
      <c r="D208" s="8">
        <v>4.2</v>
      </c>
      <c r="E208" s="4">
        <v>87</v>
      </c>
      <c r="F208" s="8">
        <v>7.7</v>
      </c>
      <c r="G208" s="4">
        <v>21</v>
      </c>
      <c r="H208" s="8">
        <v>1.46</v>
      </c>
      <c r="I208" s="4">
        <v>0</v>
      </c>
    </row>
    <row r="209" spans="1:9" x14ac:dyDescent="0.2">
      <c r="A209" s="2">
        <v>8</v>
      </c>
      <c r="B209" s="1" t="s">
        <v>103</v>
      </c>
      <c r="C209" s="4">
        <v>95</v>
      </c>
      <c r="D209" s="8">
        <v>3.7</v>
      </c>
      <c r="E209" s="4">
        <v>59</v>
      </c>
      <c r="F209" s="8">
        <v>5.22</v>
      </c>
      <c r="G209" s="4">
        <v>36</v>
      </c>
      <c r="H209" s="8">
        <v>2.5</v>
      </c>
      <c r="I209" s="4">
        <v>0</v>
      </c>
    </row>
    <row r="210" spans="1:9" x14ac:dyDescent="0.2">
      <c r="A210" s="2">
        <v>9</v>
      </c>
      <c r="B210" s="1" t="s">
        <v>94</v>
      </c>
      <c r="C210" s="4">
        <v>81</v>
      </c>
      <c r="D210" s="8">
        <v>3.15</v>
      </c>
      <c r="E210" s="4">
        <v>11</v>
      </c>
      <c r="F210" s="8">
        <v>0.97</v>
      </c>
      <c r="G210" s="4">
        <v>70</v>
      </c>
      <c r="H210" s="8">
        <v>4.8600000000000003</v>
      </c>
      <c r="I210" s="4">
        <v>0</v>
      </c>
    </row>
    <row r="211" spans="1:9" x14ac:dyDescent="0.2">
      <c r="A211" s="2">
        <v>10</v>
      </c>
      <c r="B211" s="1" t="s">
        <v>96</v>
      </c>
      <c r="C211" s="4">
        <v>80</v>
      </c>
      <c r="D211" s="8">
        <v>3.11</v>
      </c>
      <c r="E211" s="4">
        <v>11</v>
      </c>
      <c r="F211" s="8">
        <v>0.97</v>
      </c>
      <c r="G211" s="4">
        <v>69</v>
      </c>
      <c r="H211" s="8">
        <v>4.79</v>
      </c>
      <c r="I211" s="4">
        <v>0</v>
      </c>
    </row>
    <row r="212" spans="1:9" x14ac:dyDescent="0.2">
      <c r="A212" s="2">
        <v>11</v>
      </c>
      <c r="B212" s="1" t="s">
        <v>95</v>
      </c>
      <c r="C212" s="4">
        <v>76</v>
      </c>
      <c r="D212" s="8">
        <v>2.96</v>
      </c>
      <c r="E212" s="4">
        <v>12</v>
      </c>
      <c r="F212" s="8">
        <v>1.06</v>
      </c>
      <c r="G212" s="4">
        <v>64</v>
      </c>
      <c r="H212" s="8">
        <v>4.4400000000000004</v>
      </c>
      <c r="I212" s="4">
        <v>0</v>
      </c>
    </row>
    <row r="213" spans="1:9" x14ac:dyDescent="0.2">
      <c r="A213" s="2">
        <v>12</v>
      </c>
      <c r="B213" s="1" t="s">
        <v>100</v>
      </c>
      <c r="C213" s="4">
        <v>51</v>
      </c>
      <c r="D213" s="8">
        <v>1.98</v>
      </c>
      <c r="E213" s="4">
        <v>2</v>
      </c>
      <c r="F213" s="8">
        <v>0.18</v>
      </c>
      <c r="G213" s="4">
        <v>49</v>
      </c>
      <c r="H213" s="8">
        <v>3.4</v>
      </c>
      <c r="I213" s="4">
        <v>0</v>
      </c>
    </row>
    <row r="214" spans="1:9" x14ac:dyDescent="0.2">
      <c r="A214" s="2">
        <v>12</v>
      </c>
      <c r="B214" s="1" t="s">
        <v>106</v>
      </c>
      <c r="C214" s="4">
        <v>51</v>
      </c>
      <c r="D214" s="8">
        <v>1.98</v>
      </c>
      <c r="E214" s="4">
        <v>7</v>
      </c>
      <c r="F214" s="8">
        <v>0.62</v>
      </c>
      <c r="G214" s="4">
        <v>44</v>
      </c>
      <c r="H214" s="8">
        <v>3.06</v>
      </c>
      <c r="I214" s="4">
        <v>0</v>
      </c>
    </row>
    <row r="215" spans="1:9" x14ac:dyDescent="0.2">
      <c r="A215" s="2">
        <v>14</v>
      </c>
      <c r="B215" s="1" t="s">
        <v>101</v>
      </c>
      <c r="C215" s="4">
        <v>50</v>
      </c>
      <c r="D215" s="8">
        <v>1.95</v>
      </c>
      <c r="E215" s="4">
        <v>6</v>
      </c>
      <c r="F215" s="8">
        <v>0.53</v>
      </c>
      <c r="G215" s="4">
        <v>44</v>
      </c>
      <c r="H215" s="8">
        <v>3.06</v>
      </c>
      <c r="I215" s="4">
        <v>0</v>
      </c>
    </row>
    <row r="216" spans="1:9" x14ac:dyDescent="0.2">
      <c r="A216" s="2">
        <v>15</v>
      </c>
      <c r="B216" s="1" t="s">
        <v>99</v>
      </c>
      <c r="C216" s="4">
        <v>47</v>
      </c>
      <c r="D216" s="8">
        <v>1.83</v>
      </c>
      <c r="E216" s="4">
        <v>3</v>
      </c>
      <c r="F216" s="8">
        <v>0.27</v>
      </c>
      <c r="G216" s="4">
        <v>44</v>
      </c>
      <c r="H216" s="8">
        <v>3.06</v>
      </c>
      <c r="I216" s="4">
        <v>0</v>
      </c>
    </row>
    <row r="217" spans="1:9" x14ac:dyDescent="0.2">
      <c r="A217" s="2">
        <v>15</v>
      </c>
      <c r="B217" s="1" t="s">
        <v>115</v>
      </c>
      <c r="C217" s="4">
        <v>47</v>
      </c>
      <c r="D217" s="8">
        <v>1.83</v>
      </c>
      <c r="E217" s="4">
        <v>14</v>
      </c>
      <c r="F217" s="8">
        <v>1.24</v>
      </c>
      <c r="G217" s="4">
        <v>33</v>
      </c>
      <c r="H217" s="8">
        <v>2.29</v>
      </c>
      <c r="I217" s="4">
        <v>0</v>
      </c>
    </row>
    <row r="218" spans="1:9" x14ac:dyDescent="0.2">
      <c r="A218" s="2">
        <v>17</v>
      </c>
      <c r="B218" s="1" t="s">
        <v>109</v>
      </c>
      <c r="C218" s="4">
        <v>45</v>
      </c>
      <c r="D218" s="8">
        <v>1.75</v>
      </c>
      <c r="E218" s="4">
        <v>20</v>
      </c>
      <c r="F218" s="8">
        <v>1.77</v>
      </c>
      <c r="G218" s="4">
        <v>25</v>
      </c>
      <c r="H218" s="8">
        <v>1.74</v>
      </c>
      <c r="I218" s="4">
        <v>0</v>
      </c>
    </row>
    <row r="219" spans="1:9" x14ac:dyDescent="0.2">
      <c r="A219" s="2">
        <v>18</v>
      </c>
      <c r="B219" s="1" t="s">
        <v>116</v>
      </c>
      <c r="C219" s="4">
        <v>43</v>
      </c>
      <c r="D219" s="8">
        <v>1.67</v>
      </c>
      <c r="E219" s="4">
        <v>0</v>
      </c>
      <c r="F219" s="8">
        <v>0</v>
      </c>
      <c r="G219" s="4">
        <v>43</v>
      </c>
      <c r="H219" s="8">
        <v>2.99</v>
      </c>
      <c r="I219" s="4">
        <v>0</v>
      </c>
    </row>
    <row r="220" spans="1:9" x14ac:dyDescent="0.2">
      <c r="A220" s="2">
        <v>19</v>
      </c>
      <c r="B220" s="1" t="s">
        <v>102</v>
      </c>
      <c r="C220" s="4">
        <v>38</v>
      </c>
      <c r="D220" s="8">
        <v>1.48</v>
      </c>
      <c r="E220" s="4">
        <v>19</v>
      </c>
      <c r="F220" s="8">
        <v>1.68</v>
      </c>
      <c r="G220" s="4">
        <v>19</v>
      </c>
      <c r="H220" s="8">
        <v>1.32</v>
      </c>
      <c r="I220" s="4">
        <v>0</v>
      </c>
    </row>
    <row r="221" spans="1:9" x14ac:dyDescent="0.2">
      <c r="A221" s="2">
        <v>19</v>
      </c>
      <c r="B221" s="1" t="s">
        <v>114</v>
      </c>
      <c r="C221" s="4">
        <v>38</v>
      </c>
      <c r="D221" s="8">
        <v>1.48</v>
      </c>
      <c r="E221" s="4">
        <v>4</v>
      </c>
      <c r="F221" s="8">
        <v>0.35</v>
      </c>
      <c r="G221" s="4">
        <v>34</v>
      </c>
      <c r="H221" s="8">
        <v>2.36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110</v>
      </c>
      <c r="C224" s="4">
        <v>252</v>
      </c>
      <c r="D224" s="8">
        <v>12.31</v>
      </c>
      <c r="E224" s="4">
        <v>206</v>
      </c>
      <c r="F224" s="8">
        <v>26.58</v>
      </c>
      <c r="G224" s="4">
        <v>46</v>
      </c>
      <c r="H224" s="8">
        <v>3.63</v>
      </c>
      <c r="I224" s="4">
        <v>0</v>
      </c>
    </row>
    <row r="225" spans="1:9" x14ac:dyDescent="0.2">
      <c r="A225" s="2">
        <v>2</v>
      </c>
      <c r="B225" s="1" t="s">
        <v>107</v>
      </c>
      <c r="C225" s="4">
        <v>211</v>
      </c>
      <c r="D225" s="8">
        <v>10.31</v>
      </c>
      <c r="E225" s="4">
        <v>84</v>
      </c>
      <c r="F225" s="8">
        <v>10.84</v>
      </c>
      <c r="G225" s="4">
        <v>127</v>
      </c>
      <c r="H225" s="8">
        <v>10.02</v>
      </c>
      <c r="I225" s="4">
        <v>0</v>
      </c>
    </row>
    <row r="226" spans="1:9" x14ac:dyDescent="0.2">
      <c r="A226" s="2">
        <v>3</v>
      </c>
      <c r="B226" s="1" t="s">
        <v>111</v>
      </c>
      <c r="C226" s="4">
        <v>146</v>
      </c>
      <c r="D226" s="8">
        <v>7.13</v>
      </c>
      <c r="E226" s="4">
        <v>106</v>
      </c>
      <c r="F226" s="8">
        <v>13.68</v>
      </c>
      <c r="G226" s="4">
        <v>40</v>
      </c>
      <c r="H226" s="8">
        <v>3.15</v>
      </c>
      <c r="I226" s="4">
        <v>0</v>
      </c>
    </row>
    <row r="227" spans="1:9" x14ac:dyDescent="0.2">
      <c r="A227" s="2">
        <v>4</v>
      </c>
      <c r="B227" s="1" t="s">
        <v>105</v>
      </c>
      <c r="C227" s="4">
        <v>92</v>
      </c>
      <c r="D227" s="8">
        <v>4.49</v>
      </c>
      <c r="E227" s="4">
        <v>49</v>
      </c>
      <c r="F227" s="8">
        <v>6.32</v>
      </c>
      <c r="G227" s="4">
        <v>43</v>
      </c>
      <c r="H227" s="8">
        <v>3.39</v>
      </c>
      <c r="I227" s="4">
        <v>0</v>
      </c>
    </row>
    <row r="228" spans="1:9" x14ac:dyDescent="0.2">
      <c r="A228" s="2">
        <v>5</v>
      </c>
      <c r="B228" s="1" t="s">
        <v>108</v>
      </c>
      <c r="C228" s="4">
        <v>87</v>
      </c>
      <c r="D228" s="8">
        <v>4.25</v>
      </c>
      <c r="E228" s="4">
        <v>52</v>
      </c>
      <c r="F228" s="8">
        <v>6.71</v>
      </c>
      <c r="G228" s="4">
        <v>35</v>
      </c>
      <c r="H228" s="8">
        <v>2.76</v>
      </c>
      <c r="I228" s="4">
        <v>0</v>
      </c>
    </row>
    <row r="229" spans="1:9" x14ac:dyDescent="0.2">
      <c r="A229" s="2">
        <v>6</v>
      </c>
      <c r="B229" s="1" t="s">
        <v>100</v>
      </c>
      <c r="C229" s="4">
        <v>81</v>
      </c>
      <c r="D229" s="8">
        <v>3.96</v>
      </c>
      <c r="E229" s="4">
        <v>3</v>
      </c>
      <c r="F229" s="8">
        <v>0.39</v>
      </c>
      <c r="G229" s="4">
        <v>78</v>
      </c>
      <c r="H229" s="8">
        <v>6.15</v>
      </c>
      <c r="I229" s="4">
        <v>0</v>
      </c>
    </row>
    <row r="230" spans="1:9" x14ac:dyDescent="0.2">
      <c r="A230" s="2">
        <v>7</v>
      </c>
      <c r="B230" s="1" t="s">
        <v>118</v>
      </c>
      <c r="C230" s="4">
        <v>67</v>
      </c>
      <c r="D230" s="8">
        <v>3.27</v>
      </c>
      <c r="E230" s="4">
        <v>4</v>
      </c>
      <c r="F230" s="8">
        <v>0.52</v>
      </c>
      <c r="G230" s="4">
        <v>63</v>
      </c>
      <c r="H230" s="8">
        <v>4.97</v>
      </c>
      <c r="I230" s="4">
        <v>0</v>
      </c>
    </row>
    <row r="231" spans="1:9" x14ac:dyDescent="0.2">
      <c r="A231" s="2">
        <v>8</v>
      </c>
      <c r="B231" s="1" t="s">
        <v>103</v>
      </c>
      <c r="C231" s="4">
        <v>63</v>
      </c>
      <c r="D231" s="8">
        <v>3.08</v>
      </c>
      <c r="E231" s="4">
        <v>33</v>
      </c>
      <c r="F231" s="8">
        <v>4.26</v>
      </c>
      <c r="G231" s="4">
        <v>30</v>
      </c>
      <c r="H231" s="8">
        <v>2.37</v>
      </c>
      <c r="I231" s="4">
        <v>0</v>
      </c>
    </row>
    <row r="232" spans="1:9" x14ac:dyDescent="0.2">
      <c r="A232" s="2">
        <v>9</v>
      </c>
      <c r="B232" s="1" t="s">
        <v>95</v>
      </c>
      <c r="C232" s="4">
        <v>61</v>
      </c>
      <c r="D232" s="8">
        <v>2.98</v>
      </c>
      <c r="E232" s="4">
        <v>11</v>
      </c>
      <c r="F232" s="8">
        <v>1.42</v>
      </c>
      <c r="G232" s="4">
        <v>50</v>
      </c>
      <c r="H232" s="8">
        <v>3.94</v>
      </c>
      <c r="I232" s="4">
        <v>0</v>
      </c>
    </row>
    <row r="233" spans="1:9" x14ac:dyDescent="0.2">
      <c r="A233" s="2">
        <v>10</v>
      </c>
      <c r="B233" s="1" t="s">
        <v>96</v>
      </c>
      <c r="C233" s="4">
        <v>60</v>
      </c>
      <c r="D233" s="8">
        <v>2.93</v>
      </c>
      <c r="E233" s="4">
        <v>4</v>
      </c>
      <c r="F233" s="8">
        <v>0.52</v>
      </c>
      <c r="G233" s="4">
        <v>56</v>
      </c>
      <c r="H233" s="8">
        <v>4.42</v>
      </c>
      <c r="I233" s="4">
        <v>0</v>
      </c>
    </row>
    <row r="234" spans="1:9" x14ac:dyDescent="0.2">
      <c r="A234" s="2">
        <v>10</v>
      </c>
      <c r="B234" s="1" t="s">
        <v>113</v>
      </c>
      <c r="C234" s="4">
        <v>60</v>
      </c>
      <c r="D234" s="8">
        <v>2.93</v>
      </c>
      <c r="E234" s="4">
        <v>50</v>
      </c>
      <c r="F234" s="8">
        <v>6.45</v>
      </c>
      <c r="G234" s="4">
        <v>10</v>
      </c>
      <c r="H234" s="8">
        <v>0.79</v>
      </c>
      <c r="I234" s="4">
        <v>0</v>
      </c>
    </row>
    <row r="235" spans="1:9" x14ac:dyDescent="0.2">
      <c r="A235" s="2">
        <v>12</v>
      </c>
      <c r="B235" s="1" t="s">
        <v>94</v>
      </c>
      <c r="C235" s="4">
        <v>59</v>
      </c>
      <c r="D235" s="8">
        <v>2.88</v>
      </c>
      <c r="E235" s="4">
        <v>3</v>
      </c>
      <c r="F235" s="8">
        <v>0.39</v>
      </c>
      <c r="G235" s="4">
        <v>56</v>
      </c>
      <c r="H235" s="8">
        <v>4.42</v>
      </c>
      <c r="I235" s="4">
        <v>0</v>
      </c>
    </row>
    <row r="236" spans="1:9" x14ac:dyDescent="0.2">
      <c r="A236" s="2">
        <v>13</v>
      </c>
      <c r="B236" s="1" t="s">
        <v>99</v>
      </c>
      <c r="C236" s="4">
        <v>53</v>
      </c>
      <c r="D236" s="8">
        <v>2.59</v>
      </c>
      <c r="E236" s="4">
        <v>5</v>
      </c>
      <c r="F236" s="8">
        <v>0.65</v>
      </c>
      <c r="G236" s="4">
        <v>48</v>
      </c>
      <c r="H236" s="8">
        <v>3.79</v>
      </c>
      <c r="I236" s="4">
        <v>0</v>
      </c>
    </row>
    <row r="237" spans="1:9" x14ac:dyDescent="0.2">
      <c r="A237" s="2">
        <v>14</v>
      </c>
      <c r="B237" s="1" t="s">
        <v>112</v>
      </c>
      <c r="C237" s="4">
        <v>49</v>
      </c>
      <c r="D237" s="8">
        <v>2.39</v>
      </c>
      <c r="E237" s="4">
        <v>28</v>
      </c>
      <c r="F237" s="8">
        <v>3.61</v>
      </c>
      <c r="G237" s="4">
        <v>21</v>
      </c>
      <c r="H237" s="8">
        <v>1.66</v>
      </c>
      <c r="I237" s="4">
        <v>0</v>
      </c>
    </row>
    <row r="238" spans="1:9" x14ac:dyDescent="0.2">
      <c r="A238" s="2">
        <v>15</v>
      </c>
      <c r="B238" s="1" t="s">
        <v>98</v>
      </c>
      <c r="C238" s="4">
        <v>48</v>
      </c>
      <c r="D238" s="8">
        <v>2.34</v>
      </c>
      <c r="E238" s="4">
        <v>3</v>
      </c>
      <c r="F238" s="8">
        <v>0.39</v>
      </c>
      <c r="G238" s="4">
        <v>45</v>
      </c>
      <c r="H238" s="8">
        <v>3.55</v>
      </c>
      <c r="I238" s="4">
        <v>0</v>
      </c>
    </row>
    <row r="239" spans="1:9" x14ac:dyDescent="0.2">
      <c r="A239" s="2">
        <v>15</v>
      </c>
      <c r="B239" s="1" t="s">
        <v>101</v>
      </c>
      <c r="C239" s="4">
        <v>48</v>
      </c>
      <c r="D239" s="8">
        <v>2.34</v>
      </c>
      <c r="E239" s="4">
        <v>3</v>
      </c>
      <c r="F239" s="8">
        <v>0.39</v>
      </c>
      <c r="G239" s="4">
        <v>45</v>
      </c>
      <c r="H239" s="8">
        <v>3.55</v>
      </c>
      <c r="I239" s="4">
        <v>0</v>
      </c>
    </row>
    <row r="240" spans="1:9" x14ac:dyDescent="0.2">
      <c r="A240" s="2">
        <v>17</v>
      </c>
      <c r="B240" s="1" t="s">
        <v>102</v>
      </c>
      <c r="C240" s="4">
        <v>42</v>
      </c>
      <c r="D240" s="8">
        <v>2.0499999999999998</v>
      </c>
      <c r="E240" s="4">
        <v>13</v>
      </c>
      <c r="F240" s="8">
        <v>1.68</v>
      </c>
      <c r="G240" s="4">
        <v>29</v>
      </c>
      <c r="H240" s="8">
        <v>2.29</v>
      </c>
      <c r="I240" s="4">
        <v>0</v>
      </c>
    </row>
    <row r="241" spans="1:9" x14ac:dyDescent="0.2">
      <c r="A241" s="2">
        <v>18</v>
      </c>
      <c r="B241" s="1" t="s">
        <v>109</v>
      </c>
      <c r="C241" s="4">
        <v>41</v>
      </c>
      <c r="D241" s="8">
        <v>2</v>
      </c>
      <c r="E241" s="4">
        <v>9</v>
      </c>
      <c r="F241" s="8">
        <v>1.1599999999999999</v>
      </c>
      <c r="G241" s="4">
        <v>32</v>
      </c>
      <c r="H241" s="8">
        <v>2.52</v>
      </c>
      <c r="I241" s="4">
        <v>0</v>
      </c>
    </row>
    <row r="242" spans="1:9" x14ac:dyDescent="0.2">
      <c r="A242" s="2">
        <v>19</v>
      </c>
      <c r="B242" s="1" t="s">
        <v>97</v>
      </c>
      <c r="C242" s="4">
        <v>39</v>
      </c>
      <c r="D242" s="8">
        <v>1.91</v>
      </c>
      <c r="E242" s="4">
        <v>11</v>
      </c>
      <c r="F242" s="8">
        <v>1.42</v>
      </c>
      <c r="G242" s="4">
        <v>28</v>
      </c>
      <c r="H242" s="8">
        <v>2.21</v>
      </c>
      <c r="I242" s="4">
        <v>0</v>
      </c>
    </row>
    <row r="243" spans="1:9" x14ac:dyDescent="0.2">
      <c r="A243" s="2">
        <v>20</v>
      </c>
      <c r="B243" s="1" t="s">
        <v>116</v>
      </c>
      <c r="C243" s="4">
        <v>38</v>
      </c>
      <c r="D243" s="8">
        <v>1.86</v>
      </c>
      <c r="E243" s="4">
        <v>0</v>
      </c>
      <c r="F243" s="8">
        <v>0</v>
      </c>
      <c r="G243" s="4">
        <v>38</v>
      </c>
      <c r="H243" s="8">
        <v>3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110</v>
      </c>
      <c r="C246" s="4">
        <v>448</v>
      </c>
      <c r="D246" s="8">
        <v>9.6199999999999992</v>
      </c>
      <c r="E246" s="4">
        <v>397</v>
      </c>
      <c r="F246" s="8">
        <v>21.23</v>
      </c>
      <c r="G246" s="4">
        <v>51</v>
      </c>
      <c r="H246" s="8">
        <v>1.83</v>
      </c>
      <c r="I246" s="4">
        <v>0</v>
      </c>
    </row>
    <row r="247" spans="1:9" x14ac:dyDescent="0.2">
      <c r="A247" s="2">
        <v>2</v>
      </c>
      <c r="B247" s="1" t="s">
        <v>111</v>
      </c>
      <c r="C247" s="4">
        <v>387</v>
      </c>
      <c r="D247" s="8">
        <v>8.31</v>
      </c>
      <c r="E247" s="4">
        <v>324</v>
      </c>
      <c r="F247" s="8">
        <v>17.329999999999998</v>
      </c>
      <c r="G247" s="4">
        <v>63</v>
      </c>
      <c r="H247" s="8">
        <v>2.2599999999999998</v>
      </c>
      <c r="I247" s="4">
        <v>0</v>
      </c>
    </row>
    <row r="248" spans="1:9" x14ac:dyDescent="0.2">
      <c r="A248" s="2">
        <v>3</v>
      </c>
      <c r="B248" s="1" t="s">
        <v>107</v>
      </c>
      <c r="C248" s="4">
        <v>238</v>
      </c>
      <c r="D248" s="8">
        <v>5.1100000000000003</v>
      </c>
      <c r="E248" s="4">
        <v>12</v>
      </c>
      <c r="F248" s="8">
        <v>0.64</v>
      </c>
      <c r="G248" s="4">
        <v>226</v>
      </c>
      <c r="H248" s="8">
        <v>8.11</v>
      </c>
      <c r="I248" s="4">
        <v>0</v>
      </c>
    </row>
    <row r="249" spans="1:9" x14ac:dyDescent="0.2">
      <c r="A249" s="2">
        <v>4</v>
      </c>
      <c r="B249" s="1" t="s">
        <v>95</v>
      </c>
      <c r="C249" s="4">
        <v>237</v>
      </c>
      <c r="D249" s="8">
        <v>5.09</v>
      </c>
      <c r="E249" s="4">
        <v>33</v>
      </c>
      <c r="F249" s="8">
        <v>1.76</v>
      </c>
      <c r="G249" s="4">
        <v>204</v>
      </c>
      <c r="H249" s="8">
        <v>7.32</v>
      </c>
      <c r="I249" s="4">
        <v>0</v>
      </c>
    </row>
    <row r="250" spans="1:9" x14ac:dyDescent="0.2">
      <c r="A250" s="2">
        <v>5</v>
      </c>
      <c r="B250" s="1" t="s">
        <v>96</v>
      </c>
      <c r="C250" s="4">
        <v>206</v>
      </c>
      <c r="D250" s="8">
        <v>4.42</v>
      </c>
      <c r="E250" s="4">
        <v>29</v>
      </c>
      <c r="F250" s="8">
        <v>1.55</v>
      </c>
      <c r="G250" s="4">
        <v>177</v>
      </c>
      <c r="H250" s="8">
        <v>6.35</v>
      </c>
      <c r="I250" s="4">
        <v>0</v>
      </c>
    </row>
    <row r="251" spans="1:9" x14ac:dyDescent="0.2">
      <c r="A251" s="2">
        <v>6</v>
      </c>
      <c r="B251" s="1" t="s">
        <v>105</v>
      </c>
      <c r="C251" s="4">
        <v>194</v>
      </c>
      <c r="D251" s="8">
        <v>4.16</v>
      </c>
      <c r="E251" s="4">
        <v>89</v>
      </c>
      <c r="F251" s="8">
        <v>4.76</v>
      </c>
      <c r="G251" s="4">
        <v>105</v>
      </c>
      <c r="H251" s="8">
        <v>3.77</v>
      </c>
      <c r="I251" s="4">
        <v>0</v>
      </c>
    </row>
    <row r="252" spans="1:9" x14ac:dyDescent="0.2">
      <c r="A252" s="2">
        <v>7</v>
      </c>
      <c r="B252" s="1" t="s">
        <v>97</v>
      </c>
      <c r="C252" s="4">
        <v>185</v>
      </c>
      <c r="D252" s="8">
        <v>3.97</v>
      </c>
      <c r="E252" s="4">
        <v>51</v>
      </c>
      <c r="F252" s="8">
        <v>2.73</v>
      </c>
      <c r="G252" s="4">
        <v>134</v>
      </c>
      <c r="H252" s="8">
        <v>4.8099999999999996</v>
      </c>
      <c r="I252" s="4">
        <v>0</v>
      </c>
    </row>
    <row r="253" spans="1:9" x14ac:dyDescent="0.2">
      <c r="A253" s="2">
        <v>8</v>
      </c>
      <c r="B253" s="1" t="s">
        <v>94</v>
      </c>
      <c r="C253" s="4">
        <v>171</v>
      </c>
      <c r="D253" s="8">
        <v>3.67</v>
      </c>
      <c r="E253" s="4">
        <v>14</v>
      </c>
      <c r="F253" s="8">
        <v>0.75</v>
      </c>
      <c r="G253" s="4">
        <v>157</v>
      </c>
      <c r="H253" s="8">
        <v>5.63</v>
      </c>
      <c r="I253" s="4">
        <v>0</v>
      </c>
    </row>
    <row r="254" spans="1:9" x14ac:dyDescent="0.2">
      <c r="A254" s="2">
        <v>9</v>
      </c>
      <c r="B254" s="1" t="s">
        <v>104</v>
      </c>
      <c r="C254" s="4">
        <v>170</v>
      </c>
      <c r="D254" s="8">
        <v>3.65</v>
      </c>
      <c r="E254" s="4">
        <v>74</v>
      </c>
      <c r="F254" s="8">
        <v>3.96</v>
      </c>
      <c r="G254" s="4">
        <v>96</v>
      </c>
      <c r="H254" s="8">
        <v>3.44</v>
      </c>
      <c r="I254" s="4">
        <v>0</v>
      </c>
    </row>
    <row r="255" spans="1:9" x14ac:dyDescent="0.2">
      <c r="A255" s="2">
        <v>10</v>
      </c>
      <c r="B255" s="1" t="s">
        <v>98</v>
      </c>
      <c r="C255" s="4">
        <v>167</v>
      </c>
      <c r="D255" s="8">
        <v>3.58</v>
      </c>
      <c r="E255" s="4">
        <v>35</v>
      </c>
      <c r="F255" s="8">
        <v>1.87</v>
      </c>
      <c r="G255" s="4">
        <v>132</v>
      </c>
      <c r="H255" s="8">
        <v>4.74</v>
      </c>
      <c r="I255" s="4">
        <v>0</v>
      </c>
    </row>
    <row r="256" spans="1:9" x14ac:dyDescent="0.2">
      <c r="A256" s="2">
        <v>11</v>
      </c>
      <c r="B256" s="1" t="s">
        <v>113</v>
      </c>
      <c r="C256" s="4">
        <v>160</v>
      </c>
      <c r="D256" s="8">
        <v>3.43</v>
      </c>
      <c r="E256" s="4">
        <v>136</v>
      </c>
      <c r="F256" s="8">
        <v>7.27</v>
      </c>
      <c r="G256" s="4">
        <v>24</v>
      </c>
      <c r="H256" s="8">
        <v>0.86</v>
      </c>
      <c r="I256" s="4">
        <v>0</v>
      </c>
    </row>
    <row r="257" spans="1:9" x14ac:dyDescent="0.2">
      <c r="A257" s="2">
        <v>12</v>
      </c>
      <c r="B257" s="1" t="s">
        <v>112</v>
      </c>
      <c r="C257" s="4">
        <v>134</v>
      </c>
      <c r="D257" s="8">
        <v>2.88</v>
      </c>
      <c r="E257" s="4">
        <v>88</v>
      </c>
      <c r="F257" s="8">
        <v>4.71</v>
      </c>
      <c r="G257" s="4">
        <v>46</v>
      </c>
      <c r="H257" s="8">
        <v>1.65</v>
      </c>
      <c r="I257" s="4">
        <v>0</v>
      </c>
    </row>
    <row r="258" spans="1:9" x14ac:dyDescent="0.2">
      <c r="A258" s="2">
        <v>13</v>
      </c>
      <c r="B258" s="1" t="s">
        <v>100</v>
      </c>
      <c r="C258" s="4">
        <v>131</v>
      </c>
      <c r="D258" s="8">
        <v>2.81</v>
      </c>
      <c r="E258" s="4">
        <v>17</v>
      </c>
      <c r="F258" s="8">
        <v>0.91</v>
      </c>
      <c r="G258" s="4">
        <v>114</v>
      </c>
      <c r="H258" s="8">
        <v>4.09</v>
      </c>
      <c r="I258" s="4">
        <v>0</v>
      </c>
    </row>
    <row r="259" spans="1:9" x14ac:dyDescent="0.2">
      <c r="A259" s="2">
        <v>14</v>
      </c>
      <c r="B259" s="1" t="s">
        <v>103</v>
      </c>
      <c r="C259" s="4">
        <v>122</v>
      </c>
      <c r="D259" s="8">
        <v>2.62</v>
      </c>
      <c r="E259" s="4">
        <v>94</v>
      </c>
      <c r="F259" s="8">
        <v>5.03</v>
      </c>
      <c r="G259" s="4">
        <v>28</v>
      </c>
      <c r="H259" s="8">
        <v>1</v>
      </c>
      <c r="I259" s="4">
        <v>0</v>
      </c>
    </row>
    <row r="260" spans="1:9" x14ac:dyDescent="0.2">
      <c r="A260" s="2">
        <v>15</v>
      </c>
      <c r="B260" s="1" t="s">
        <v>99</v>
      </c>
      <c r="C260" s="4">
        <v>119</v>
      </c>
      <c r="D260" s="8">
        <v>2.5499999999999998</v>
      </c>
      <c r="E260" s="4">
        <v>14</v>
      </c>
      <c r="F260" s="8">
        <v>0.75</v>
      </c>
      <c r="G260" s="4">
        <v>105</v>
      </c>
      <c r="H260" s="8">
        <v>3.77</v>
      </c>
      <c r="I260" s="4">
        <v>0</v>
      </c>
    </row>
    <row r="261" spans="1:9" x14ac:dyDescent="0.2">
      <c r="A261" s="2">
        <v>16</v>
      </c>
      <c r="B261" s="1" t="s">
        <v>108</v>
      </c>
      <c r="C261" s="4">
        <v>117</v>
      </c>
      <c r="D261" s="8">
        <v>2.5099999999999998</v>
      </c>
      <c r="E261" s="4">
        <v>70</v>
      </c>
      <c r="F261" s="8">
        <v>3.74</v>
      </c>
      <c r="G261" s="4">
        <v>47</v>
      </c>
      <c r="H261" s="8">
        <v>1.69</v>
      </c>
      <c r="I261" s="4">
        <v>0</v>
      </c>
    </row>
    <row r="262" spans="1:9" x14ac:dyDescent="0.2">
      <c r="A262" s="2">
        <v>17</v>
      </c>
      <c r="B262" s="1" t="s">
        <v>101</v>
      </c>
      <c r="C262" s="4">
        <v>92</v>
      </c>
      <c r="D262" s="8">
        <v>1.97</v>
      </c>
      <c r="E262" s="4">
        <v>13</v>
      </c>
      <c r="F262" s="8">
        <v>0.7</v>
      </c>
      <c r="G262" s="4">
        <v>79</v>
      </c>
      <c r="H262" s="8">
        <v>2.83</v>
      </c>
      <c r="I262" s="4">
        <v>0</v>
      </c>
    </row>
    <row r="263" spans="1:9" x14ac:dyDescent="0.2">
      <c r="A263" s="2">
        <v>18</v>
      </c>
      <c r="B263" s="1" t="s">
        <v>122</v>
      </c>
      <c r="C263" s="4">
        <v>89</v>
      </c>
      <c r="D263" s="8">
        <v>1.91</v>
      </c>
      <c r="E263" s="4">
        <v>45</v>
      </c>
      <c r="F263" s="8">
        <v>2.41</v>
      </c>
      <c r="G263" s="4">
        <v>44</v>
      </c>
      <c r="H263" s="8">
        <v>1.58</v>
      </c>
      <c r="I263" s="4">
        <v>0</v>
      </c>
    </row>
    <row r="264" spans="1:9" x14ac:dyDescent="0.2">
      <c r="A264" s="2">
        <v>19</v>
      </c>
      <c r="B264" s="1" t="s">
        <v>121</v>
      </c>
      <c r="C264" s="4">
        <v>85</v>
      </c>
      <c r="D264" s="8">
        <v>1.82</v>
      </c>
      <c r="E264" s="4">
        <v>35</v>
      </c>
      <c r="F264" s="8">
        <v>1.87</v>
      </c>
      <c r="G264" s="4">
        <v>50</v>
      </c>
      <c r="H264" s="8">
        <v>1.79</v>
      </c>
      <c r="I264" s="4">
        <v>0</v>
      </c>
    </row>
    <row r="265" spans="1:9" x14ac:dyDescent="0.2">
      <c r="A265" s="2">
        <v>20</v>
      </c>
      <c r="B265" s="1" t="s">
        <v>115</v>
      </c>
      <c r="C265" s="4">
        <v>70</v>
      </c>
      <c r="D265" s="8">
        <v>1.5</v>
      </c>
      <c r="E265" s="4">
        <v>15</v>
      </c>
      <c r="F265" s="8">
        <v>0.8</v>
      </c>
      <c r="G265" s="4">
        <v>55</v>
      </c>
      <c r="H265" s="8">
        <v>1.97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110</v>
      </c>
      <c r="C268" s="4">
        <v>330</v>
      </c>
      <c r="D268" s="8">
        <v>10.58</v>
      </c>
      <c r="E268" s="4">
        <v>279</v>
      </c>
      <c r="F268" s="8">
        <v>26.72</v>
      </c>
      <c r="G268" s="4">
        <v>51</v>
      </c>
      <c r="H268" s="8">
        <v>2.46</v>
      </c>
      <c r="I268" s="4">
        <v>0</v>
      </c>
    </row>
    <row r="269" spans="1:9" x14ac:dyDescent="0.2">
      <c r="A269" s="2">
        <v>2</v>
      </c>
      <c r="B269" s="1" t="s">
        <v>111</v>
      </c>
      <c r="C269" s="4">
        <v>227</v>
      </c>
      <c r="D269" s="8">
        <v>7.28</v>
      </c>
      <c r="E269" s="4">
        <v>182</v>
      </c>
      <c r="F269" s="8">
        <v>17.43</v>
      </c>
      <c r="G269" s="4">
        <v>45</v>
      </c>
      <c r="H269" s="8">
        <v>2.17</v>
      </c>
      <c r="I269" s="4">
        <v>0</v>
      </c>
    </row>
    <row r="270" spans="1:9" x14ac:dyDescent="0.2">
      <c r="A270" s="2">
        <v>3</v>
      </c>
      <c r="B270" s="1" t="s">
        <v>96</v>
      </c>
      <c r="C270" s="4">
        <v>163</v>
      </c>
      <c r="D270" s="8">
        <v>5.22</v>
      </c>
      <c r="E270" s="4">
        <v>18</v>
      </c>
      <c r="F270" s="8">
        <v>1.72</v>
      </c>
      <c r="G270" s="4">
        <v>145</v>
      </c>
      <c r="H270" s="8">
        <v>7.01</v>
      </c>
      <c r="I270" s="4">
        <v>0</v>
      </c>
    </row>
    <row r="271" spans="1:9" x14ac:dyDescent="0.2">
      <c r="A271" s="2">
        <v>3</v>
      </c>
      <c r="B271" s="1" t="s">
        <v>97</v>
      </c>
      <c r="C271" s="4">
        <v>163</v>
      </c>
      <c r="D271" s="8">
        <v>5.22</v>
      </c>
      <c r="E271" s="4">
        <v>23</v>
      </c>
      <c r="F271" s="8">
        <v>2.2000000000000002</v>
      </c>
      <c r="G271" s="4">
        <v>140</v>
      </c>
      <c r="H271" s="8">
        <v>6.77</v>
      </c>
      <c r="I271" s="4">
        <v>0</v>
      </c>
    </row>
    <row r="272" spans="1:9" x14ac:dyDescent="0.2">
      <c r="A272" s="2">
        <v>5</v>
      </c>
      <c r="B272" s="1" t="s">
        <v>107</v>
      </c>
      <c r="C272" s="4">
        <v>154</v>
      </c>
      <c r="D272" s="8">
        <v>4.9400000000000004</v>
      </c>
      <c r="E272" s="4">
        <v>11</v>
      </c>
      <c r="F272" s="8">
        <v>1.05</v>
      </c>
      <c r="G272" s="4">
        <v>141</v>
      </c>
      <c r="H272" s="8">
        <v>6.81</v>
      </c>
      <c r="I272" s="4">
        <v>1</v>
      </c>
    </row>
    <row r="273" spans="1:9" x14ac:dyDescent="0.2">
      <c r="A273" s="2">
        <v>6</v>
      </c>
      <c r="B273" s="1" t="s">
        <v>95</v>
      </c>
      <c r="C273" s="4">
        <v>144</v>
      </c>
      <c r="D273" s="8">
        <v>4.62</v>
      </c>
      <c r="E273" s="4">
        <v>23</v>
      </c>
      <c r="F273" s="8">
        <v>2.2000000000000002</v>
      </c>
      <c r="G273" s="4">
        <v>121</v>
      </c>
      <c r="H273" s="8">
        <v>5.85</v>
      </c>
      <c r="I273" s="4">
        <v>0</v>
      </c>
    </row>
    <row r="274" spans="1:9" x14ac:dyDescent="0.2">
      <c r="A274" s="2">
        <v>7</v>
      </c>
      <c r="B274" s="1" t="s">
        <v>105</v>
      </c>
      <c r="C274" s="4">
        <v>133</v>
      </c>
      <c r="D274" s="8">
        <v>4.26</v>
      </c>
      <c r="E274" s="4">
        <v>57</v>
      </c>
      <c r="F274" s="8">
        <v>5.46</v>
      </c>
      <c r="G274" s="4">
        <v>76</v>
      </c>
      <c r="H274" s="8">
        <v>3.67</v>
      </c>
      <c r="I274" s="4">
        <v>0</v>
      </c>
    </row>
    <row r="275" spans="1:9" x14ac:dyDescent="0.2">
      <c r="A275" s="2">
        <v>8</v>
      </c>
      <c r="B275" s="1" t="s">
        <v>94</v>
      </c>
      <c r="C275" s="4">
        <v>115</v>
      </c>
      <c r="D275" s="8">
        <v>3.69</v>
      </c>
      <c r="E275" s="4">
        <v>11</v>
      </c>
      <c r="F275" s="8">
        <v>1.05</v>
      </c>
      <c r="G275" s="4">
        <v>104</v>
      </c>
      <c r="H275" s="8">
        <v>5.03</v>
      </c>
      <c r="I275" s="4">
        <v>0</v>
      </c>
    </row>
    <row r="276" spans="1:9" x14ac:dyDescent="0.2">
      <c r="A276" s="2">
        <v>9</v>
      </c>
      <c r="B276" s="1" t="s">
        <v>98</v>
      </c>
      <c r="C276" s="4">
        <v>98</v>
      </c>
      <c r="D276" s="8">
        <v>3.14</v>
      </c>
      <c r="E276" s="4">
        <v>19</v>
      </c>
      <c r="F276" s="8">
        <v>1.82</v>
      </c>
      <c r="G276" s="4">
        <v>79</v>
      </c>
      <c r="H276" s="8">
        <v>3.82</v>
      </c>
      <c r="I276" s="4">
        <v>0</v>
      </c>
    </row>
    <row r="277" spans="1:9" x14ac:dyDescent="0.2">
      <c r="A277" s="2">
        <v>10</v>
      </c>
      <c r="B277" s="1" t="s">
        <v>102</v>
      </c>
      <c r="C277" s="4">
        <v>94</v>
      </c>
      <c r="D277" s="8">
        <v>3.01</v>
      </c>
      <c r="E277" s="4">
        <v>18</v>
      </c>
      <c r="F277" s="8">
        <v>1.72</v>
      </c>
      <c r="G277" s="4">
        <v>76</v>
      </c>
      <c r="H277" s="8">
        <v>3.67</v>
      </c>
      <c r="I277" s="4">
        <v>0</v>
      </c>
    </row>
    <row r="278" spans="1:9" x14ac:dyDescent="0.2">
      <c r="A278" s="2">
        <v>11</v>
      </c>
      <c r="B278" s="1" t="s">
        <v>99</v>
      </c>
      <c r="C278" s="4">
        <v>93</v>
      </c>
      <c r="D278" s="8">
        <v>2.98</v>
      </c>
      <c r="E278" s="4">
        <v>6</v>
      </c>
      <c r="F278" s="8">
        <v>0.56999999999999995</v>
      </c>
      <c r="G278" s="4">
        <v>87</v>
      </c>
      <c r="H278" s="8">
        <v>4.2</v>
      </c>
      <c r="I278" s="4">
        <v>0</v>
      </c>
    </row>
    <row r="279" spans="1:9" x14ac:dyDescent="0.2">
      <c r="A279" s="2">
        <v>12</v>
      </c>
      <c r="B279" s="1" t="s">
        <v>104</v>
      </c>
      <c r="C279" s="4">
        <v>86</v>
      </c>
      <c r="D279" s="8">
        <v>2.76</v>
      </c>
      <c r="E279" s="4">
        <v>29</v>
      </c>
      <c r="F279" s="8">
        <v>2.78</v>
      </c>
      <c r="G279" s="4">
        <v>57</v>
      </c>
      <c r="H279" s="8">
        <v>2.75</v>
      </c>
      <c r="I279" s="4">
        <v>0</v>
      </c>
    </row>
    <row r="280" spans="1:9" x14ac:dyDescent="0.2">
      <c r="A280" s="2">
        <v>12</v>
      </c>
      <c r="B280" s="1" t="s">
        <v>113</v>
      </c>
      <c r="C280" s="4">
        <v>86</v>
      </c>
      <c r="D280" s="8">
        <v>2.76</v>
      </c>
      <c r="E280" s="4">
        <v>80</v>
      </c>
      <c r="F280" s="8">
        <v>7.66</v>
      </c>
      <c r="G280" s="4">
        <v>6</v>
      </c>
      <c r="H280" s="8">
        <v>0.28999999999999998</v>
      </c>
      <c r="I280" s="4">
        <v>0</v>
      </c>
    </row>
    <row r="281" spans="1:9" x14ac:dyDescent="0.2">
      <c r="A281" s="2">
        <v>14</v>
      </c>
      <c r="B281" s="1" t="s">
        <v>112</v>
      </c>
      <c r="C281" s="4">
        <v>78</v>
      </c>
      <c r="D281" s="8">
        <v>2.5</v>
      </c>
      <c r="E281" s="4">
        <v>51</v>
      </c>
      <c r="F281" s="8">
        <v>4.8899999999999997</v>
      </c>
      <c r="G281" s="4">
        <v>26</v>
      </c>
      <c r="H281" s="8">
        <v>1.26</v>
      </c>
      <c r="I281" s="4">
        <v>0</v>
      </c>
    </row>
    <row r="282" spans="1:9" x14ac:dyDescent="0.2">
      <c r="A282" s="2">
        <v>15</v>
      </c>
      <c r="B282" s="1" t="s">
        <v>103</v>
      </c>
      <c r="C282" s="4">
        <v>73</v>
      </c>
      <c r="D282" s="8">
        <v>2.34</v>
      </c>
      <c r="E282" s="4">
        <v>43</v>
      </c>
      <c r="F282" s="8">
        <v>4.12</v>
      </c>
      <c r="G282" s="4">
        <v>30</v>
      </c>
      <c r="H282" s="8">
        <v>1.45</v>
      </c>
      <c r="I282" s="4">
        <v>0</v>
      </c>
    </row>
    <row r="283" spans="1:9" x14ac:dyDescent="0.2">
      <c r="A283" s="2">
        <v>16</v>
      </c>
      <c r="B283" s="1" t="s">
        <v>100</v>
      </c>
      <c r="C283" s="4">
        <v>57</v>
      </c>
      <c r="D283" s="8">
        <v>1.83</v>
      </c>
      <c r="E283" s="4">
        <v>6</v>
      </c>
      <c r="F283" s="8">
        <v>0.56999999999999995</v>
      </c>
      <c r="G283" s="4">
        <v>51</v>
      </c>
      <c r="H283" s="8">
        <v>2.46</v>
      </c>
      <c r="I283" s="4">
        <v>0</v>
      </c>
    </row>
    <row r="284" spans="1:9" x14ac:dyDescent="0.2">
      <c r="A284" s="2">
        <v>16</v>
      </c>
      <c r="B284" s="1" t="s">
        <v>115</v>
      </c>
      <c r="C284" s="4">
        <v>57</v>
      </c>
      <c r="D284" s="8">
        <v>1.83</v>
      </c>
      <c r="E284" s="4">
        <v>10</v>
      </c>
      <c r="F284" s="8">
        <v>0.96</v>
      </c>
      <c r="G284" s="4">
        <v>47</v>
      </c>
      <c r="H284" s="8">
        <v>2.27</v>
      </c>
      <c r="I284" s="4">
        <v>0</v>
      </c>
    </row>
    <row r="285" spans="1:9" x14ac:dyDescent="0.2">
      <c r="A285" s="2">
        <v>18</v>
      </c>
      <c r="B285" s="1" t="s">
        <v>123</v>
      </c>
      <c r="C285" s="4">
        <v>52</v>
      </c>
      <c r="D285" s="8">
        <v>1.67</v>
      </c>
      <c r="E285" s="4">
        <v>1</v>
      </c>
      <c r="F285" s="8">
        <v>0.1</v>
      </c>
      <c r="G285" s="4">
        <v>51</v>
      </c>
      <c r="H285" s="8">
        <v>2.46</v>
      </c>
      <c r="I285" s="4">
        <v>0</v>
      </c>
    </row>
    <row r="286" spans="1:9" x14ac:dyDescent="0.2">
      <c r="A286" s="2">
        <v>18</v>
      </c>
      <c r="B286" s="1" t="s">
        <v>122</v>
      </c>
      <c r="C286" s="4">
        <v>52</v>
      </c>
      <c r="D286" s="8">
        <v>1.67</v>
      </c>
      <c r="E286" s="4">
        <v>26</v>
      </c>
      <c r="F286" s="8">
        <v>2.4900000000000002</v>
      </c>
      <c r="G286" s="4">
        <v>26</v>
      </c>
      <c r="H286" s="8">
        <v>1.26</v>
      </c>
      <c r="I286" s="4">
        <v>0</v>
      </c>
    </row>
    <row r="287" spans="1:9" x14ac:dyDescent="0.2">
      <c r="A287" s="2">
        <v>20</v>
      </c>
      <c r="B287" s="1" t="s">
        <v>121</v>
      </c>
      <c r="C287" s="4">
        <v>51</v>
      </c>
      <c r="D287" s="8">
        <v>1.63</v>
      </c>
      <c r="E287" s="4">
        <v>15</v>
      </c>
      <c r="F287" s="8">
        <v>1.44</v>
      </c>
      <c r="G287" s="4">
        <v>36</v>
      </c>
      <c r="H287" s="8">
        <v>1.74</v>
      </c>
      <c r="I287" s="4">
        <v>0</v>
      </c>
    </row>
    <row r="288" spans="1:9" x14ac:dyDescent="0.2">
      <c r="A288" s="1"/>
      <c r="C288" s="4"/>
      <c r="D288" s="8"/>
      <c r="E288" s="4"/>
      <c r="F288" s="8"/>
      <c r="G288" s="4"/>
      <c r="H288" s="8"/>
      <c r="I288" s="4"/>
    </row>
    <row r="289" spans="1:9" x14ac:dyDescent="0.2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2">
      <c r="A290" s="2">
        <v>1</v>
      </c>
      <c r="B290" s="1" t="s">
        <v>111</v>
      </c>
      <c r="C290" s="4">
        <v>317</v>
      </c>
      <c r="D290" s="8">
        <v>10.08</v>
      </c>
      <c r="E290" s="4">
        <v>261</v>
      </c>
      <c r="F290" s="8">
        <v>21.13</v>
      </c>
      <c r="G290" s="4">
        <v>56</v>
      </c>
      <c r="H290" s="8">
        <v>2.94</v>
      </c>
      <c r="I290" s="4">
        <v>0</v>
      </c>
    </row>
    <row r="291" spans="1:9" x14ac:dyDescent="0.2">
      <c r="A291" s="2">
        <v>2</v>
      </c>
      <c r="B291" s="1" t="s">
        <v>110</v>
      </c>
      <c r="C291" s="4">
        <v>316</v>
      </c>
      <c r="D291" s="8">
        <v>10.050000000000001</v>
      </c>
      <c r="E291" s="4">
        <v>273</v>
      </c>
      <c r="F291" s="8">
        <v>22.11</v>
      </c>
      <c r="G291" s="4">
        <v>43</v>
      </c>
      <c r="H291" s="8">
        <v>2.2599999999999998</v>
      </c>
      <c r="I291" s="4">
        <v>0</v>
      </c>
    </row>
    <row r="292" spans="1:9" x14ac:dyDescent="0.2">
      <c r="A292" s="2">
        <v>3</v>
      </c>
      <c r="B292" s="1" t="s">
        <v>107</v>
      </c>
      <c r="C292" s="4">
        <v>186</v>
      </c>
      <c r="D292" s="8">
        <v>5.92</v>
      </c>
      <c r="E292" s="4">
        <v>16</v>
      </c>
      <c r="F292" s="8">
        <v>1.3</v>
      </c>
      <c r="G292" s="4">
        <v>170</v>
      </c>
      <c r="H292" s="8">
        <v>8.92</v>
      </c>
      <c r="I292" s="4">
        <v>0</v>
      </c>
    </row>
    <row r="293" spans="1:9" x14ac:dyDescent="0.2">
      <c r="A293" s="2">
        <v>4</v>
      </c>
      <c r="B293" s="1" t="s">
        <v>96</v>
      </c>
      <c r="C293" s="4">
        <v>164</v>
      </c>
      <c r="D293" s="8">
        <v>5.22</v>
      </c>
      <c r="E293" s="4">
        <v>14</v>
      </c>
      <c r="F293" s="8">
        <v>1.1299999999999999</v>
      </c>
      <c r="G293" s="4">
        <v>150</v>
      </c>
      <c r="H293" s="8">
        <v>7.87</v>
      </c>
      <c r="I293" s="4">
        <v>0</v>
      </c>
    </row>
    <row r="294" spans="1:9" x14ac:dyDescent="0.2">
      <c r="A294" s="2">
        <v>5</v>
      </c>
      <c r="B294" s="1" t="s">
        <v>105</v>
      </c>
      <c r="C294" s="4">
        <v>162</v>
      </c>
      <c r="D294" s="8">
        <v>5.15</v>
      </c>
      <c r="E294" s="4">
        <v>85</v>
      </c>
      <c r="F294" s="8">
        <v>6.88</v>
      </c>
      <c r="G294" s="4">
        <v>77</v>
      </c>
      <c r="H294" s="8">
        <v>4.04</v>
      </c>
      <c r="I294" s="4">
        <v>0</v>
      </c>
    </row>
    <row r="295" spans="1:9" x14ac:dyDescent="0.2">
      <c r="A295" s="2">
        <v>6</v>
      </c>
      <c r="B295" s="1" t="s">
        <v>95</v>
      </c>
      <c r="C295" s="4">
        <v>142</v>
      </c>
      <c r="D295" s="8">
        <v>4.5199999999999996</v>
      </c>
      <c r="E295" s="4">
        <v>18</v>
      </c>
      <c r="F295" s="8">
        <v>1.46</v>
      </c>
      <c r="G295" s="4">
        <v>124</v>
      </c>
      <c r="H295" s="8">
        <v>6.51</v>
      </c>
      <c r="I295" s="4">
        <v>0</v>
      </c>
    </row>
    <row r="296" spans="1:9" x14ac:dyDescent="0.2">
      <c r="A296" s="2">
        <v>7</v>
      </c>
      <c r="B296" s="1" t="s">
        <v>98</v>
      </c>
      <c r="C296" s="4">
        <v>128</v>
      </c>
      <c r="D296" s="8">
        <v>4.07</v>
      </c>
      <c r="E296" s="4">
        <v>19</v>
      </c>
      <c r="F296" s="8">
        <v>1.54</v>
      </c>
      <c r="G296" s="4">
        <v>109</v>
      </c>
      <c r="H296" s="8">
        <v>5.72</v>
      </c>
      <c r="I296" s="4">
        <v>0</v>
      </c>
    </row>
    <row r="297" spans="1:9" x14ac:dyDescent="0.2">
      <c r="A297" s="2">
        <v>8</v>
      </c>
      <c r="B297" s="1" t="s">
        <v>97</v>
      </c>
      <c r="C297" s="4">
        <v>125</v>
      </c>
      <c r="D297" s="8">
        <v>3.98</v>
      </c>
      <c r="E297" s="4">
        <v>30</v>
      </c>
      <c r="F297" s="8">
        <v>2.4300000000000002</v>
      </c>
      <c r="G297" s="4">
        <v>95</v>
      </c>
      <c r="H297" s="8">
        <v>4.99</v>
      </c>
      <c r="I297" s="4">
        <v>0</v>
      </c>
    </row>
    <row r="298" spans="1:9" x14ac:dyDescent="0.2">
      <c r="A298" s="2">
        <v>9</v>
      </c>
      <c r="B298" s="1" t="s">
        <v>113</v>
      </c>
      <c r="C298" s="4">
        <v>112</v>
      </c>
      <c r="D298" s="8">
        <v>3.56</v>
      </c>
      <c r="E298" s="4">
        <v>95</v>
      </c>
      <c r="F298" s="8">
        <v>7.69</v>
      </c>
      <c r="G298" s="4">
        <v>17</v>
      </c>
      <c r="H298" s="8">
        <v>0.89</v>
      </c>
      <c r="I298" s="4">
        <v>0</v>
      </c>
    </row>
    <row r="299" spans="1:9" x14ac:dyDescent="0.2">
      <c r="A299" s="2">
        <v>10</v>
      </c>
      <c r="B299" s="1" t="s">
        <v>94</v>
      </c>
      <c r="C299" s="4">
        <v>100</v>
      </c>
      <c r="D299" s="8">
        <v>3.18</v>
      </c>
      <c r="E299" s="4">
        <v>11</v>
      </c>
      <c r="F299" s="8">
        <v>0.89</v>
      </c>
      <c r="G299" s="4">
        <v>89</v>
      </c>
      <c r="H299" s="8">
        <v>4.67</v>
      </c>
      <c r="I299" s="4">
        <v>0</v>
      </c>
    </row>
    <row r="300" spans="1:9" x14ac:dyDescent="0.2">
      <c r="A300" s="2">
        <v>11</v>
      </c>
      <c r="B300" s="1" t="s">
        <v>103</v>
      </c>
      <c r="C300" s="4">
        <v>93</v>
      </c>
      <c r="D300" s="8">
        <v>2.96</v>
      </c>
      <c r="E300" s="4">
        <v>61</v>
      </c>
      <c r="F300" s="8">
        <v>4.9400000000000004</v>
      </c>
      <c r="G300" s="4">
        <v>32</v>
      </c>
      <c r="H300" s="8">
        <v>1.68</v>
      </c>
      <c r="I300" s="4">
        <v>0</v>
      </c>
    </row>
    <row r="301" spans="1:9" x14ac:dyDescent="0.2">
      <c r="A301" s="2">
        <v>12</v>
      </c>
      <c r="B301" s="1" t="s">
        <v>99</v>
      </c>
      <c r="C301" s="4">
        <v>80</v>
      </c>
      <c r="D301" s="8">
        <v>2.54</v>
      </c>
      <c r="E301" s="4">
        <v>11</v>
      </c>
      <c r="F301" s="8">
        <v>0.89</v>
      </c>
      <c r="G301" s="4">
        <v>69</v>
      </c>
      <c r="H301" s="8">
        <v>3.62</v>
      </c>
      <c r="I301" s="4">
        <v>0</v>
      </c>
    </row>
    <row r="302" spans="1:9" x14ac:dyDescent="0.2">
      <c r="A302" s="2">
        <v>13</v>
      </c>
      <c r="B302" s="1" t="s">
        <v>104</v>
      </c>
      <c r="C302" s="4">
        <v>79</v>
      </c>
      <c r="D302" s="8">
        <v>2.5099999999999998</v>
      </c>
      <c r="E302" s="4">
        <v>38</v>
      </c>
      <c r="F302" s="8">
        <v>3.08</v>
      </c>
      <c r="G302" s="4">
        <v>41</v>
      </c>
      <c r="H302" s="8">
        <v>2.15</v>
      </c>
      <c r="I302" s="4">
        <v>0</v>
      </c>
    </row>
    <row r="303" spans="1:9" x14ac:dyDescent="0.2">
      <c r="A303" s="2">
        <v>14</v>
      </c>
      <c r="B303" s="1" t="s">
        <v>112</v>
      </c>
      <c r="C303" s="4">
        <v>77</v>
      </c>
      <c r="D303" s="8">
        <v>2.4500000000000002</v>
      </c>
      <c r="E303" s="4">
        <v>57</v>
      </c>
      <c r="F303" s="8">
        <v>4.62</v>
      </c>
      <c r="G303" s="4">
        <v>19</v>
      </c>
      <c r="H303" s="8">
        <v>1</v>
      </c>
      <c r="I303" s="4">
        <v>0</v>
      </c>
    </row>
    <row r="304" spans="1:9" x14ac:dyDescent="0.2">
      <c r="A304" s="2">
        <v>15</v>
      </c>
      <c r="B304" s="1" t="s">
        <v>124</v>
      </c>
      <c r="C304" s="4">
        <v>64</v>
      </c>
      <c r="D304" s="8">
        <v>2.04</v>
      </c>
      <c r="E304" s="4">
        <v>3</v>
      </c>
      <c r="F304" s="8">
        <v>0.24</v>
      </c>
      <c r="G304" s="4">
        <v>61</v>
      </c>
      <c r="H304" s="8">
        <v>3.2</v>
      </c>
      <c r="I304" s="4">
        <v>0</v>
      </c>
    </row>
    <row r="305" spans="1:9" x14ac:dyDescent="0.2">
      <c r="A305" s="2">
        <v>15</v>
      </c>
      <c r="B305" s="1" t="s">
        <v>100</v>
      </c>
      <c r="C305" s="4">
        <v>64</v>
      </c>
      <c r="D305" s="8">
        <v>2.04</v>
      </c>
      <c r="E305" s="4">
        <v>9</v>
      </c>
      <c r="F305" s="8">
        <v>0.73</v>
      </c>
      <c r="G305" s="4">
        <v>55</v>
      </c>
      <c r="H305" s="8">
        <v>2.89</v>
      </c>
      <c r="I305" s="4">
        <v>0</v>
      </c>
    </row>
    <row r="306" spans="1:9" x14ac:dyDescent="0.2">
      <c r="A306" s="2">
        <v>17</v>
      </c>
      <c r="B306" s="1" t="s">
        <v>108</v>
      </c>
      <c r="C306" s="4">
        <v>60</v>
      </c>
      <c r="D306" s="8">
        <v>1.91</v>
      </c>
      <c r="E306" s="4">
        <v>37</v>
      </c>
      <c r="F306" s="8">
        <v>3</v>
      </c>
      <c r="G306" s="4">
        <v>22</v>
      </c>
      <c r="H306" s="8">
        <v>1.1499999999999999</v>
      </c>
      <c r="I306" s="4">
        <v>1</v>
      </c>
    </row>
    <row r="307" spans="1:9" x14ac:dyDescent="0.2">
      <c r="A307" s="2">
        <v>18</v>
      </c>
      <c r="B307" s="1" t="s">
        <v>109</v>
      </c>
      <c r="C307" s="4">
        <v>54</v>
      </c>
      <c r="D307" s="8">
        <v>1.72</v>
      </c>
      <c r="E307" s="4">
        <v>18</v>
      </c>
      <c r="F307" s="8">
        <v>1.46</v>
      </c>
      <c r="G307" s="4">
        <v>36</v>
      </c>
      <c r="H307" s="8">
        <v>1.89</v>
      </c>
      <c r="I307" s="4">
        <v>0</v>
      </c>
    </row>
    <row r="308" spans="1:9" x14ac:dyDescent="0.2">
      <c r="A308" s="2">
        <v>19</v>
      </c>
      <c r="B308" s="1" t="s">
        <v>115</v>
      </c>
      <c r="C308" s="4">
        <v>52</v>
      </c>
      <c r="D308" s="8">
        <v>1.65</v>
      </c>
      <c r="E308" s="4">
        <v>16</v>
      </c>
      <c r="F308" s="8">
        <v>1.3</v>
      </c>
      <c r="G308" s="4">
        <v>36</v>
      </c>
      <c r="H308" s="8">
        <v>1.89</v>
      </c>
      <c r="I308" s="4">
        <v>0</v>
      </c>
    </row>
    <row r="309" spans="1:9" x14ac:dyDescent="0.2">
      <c r="A309" s="2">
        <v>20</v>
      </c>
      <c r="B309" s="1" t="s">
        <v>121</v>
      </c>
      <c r="C309" s="4">
        <v>51</v>
      </c>
      <c r="D309" s="8">
        <v>1.62</v>
      </c>
      <c r="E309" s="4">
        <v>13</v>
      </c>
      <c r="F309" s="8">
        <v>1.05</v>
      </c>
      <c r="G309" s="4">
        <v>38</v>
      </c>
      <c r="H309" s="8">
        <v>1.99</v>
      </c>
      <c r="I309" s="4">
        <v>0</v>
      </c>
    </row>
    <row r="310" spans="1:9" x14ac:dyDescent="0.2">
      <c r="A310" s="2">
        <v>20</v>
      </c>
      <c r="B310" s="1" t="s">
        <v>102</v>
      </c>
      <c r="C310" s="4">
        <v>51</v>
      </c>
      <c r="D310" s="8">
        <v>1.62</v>
      </c>
      <c r="E310" s="4">
        <v>29</v>
      </c>
      <c r="F310" s="8">
        <v>2.35</v>
      </c>
      <c r="G310" s="4">
        <v>22</v>
      </c>
      <c r="H310" s="8">
        <v>1.1499999999999999</v>
      </c>
      <c r="I310" s="4">
        <v>0</v>
      </c>
    </row>
    <row r="311" spans="1:9" x14ac:dyDescent="0.2">
      <c r="A311" s="1"/>
      <c r="C311" s="4"/>
      <c r="D311" s="8"/>
      <c r="E311" s="4"/>
      <c r="F311" s="8"/>
      <c r="G311" s="4"/>
      <c r="H311" s="8"/>
      <c r="I311" s="4"/>
    </row>
    <row r="312" spans="1:9" x14ac:dyDescent="0.2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2">
      <c r="A313" s="2">
        <v>1</v>
      </c>
      <c r="B313" s="1" t="s">
        <v>110</v>
      </c>
      <c r="C313" s="4">
        <v>249</v>
      </c>
      <c r="D313" s="8">
        <v>7.94</v>
      </c>
      <c r="E313" s="4">
        <v>219</v>
      </c>
      <c r="F313" s="8">
        <v>20.07</v>
      </c>
      <c r="G313" s="4">
        <v>30</v>
      </c>
      <c r="H313" s="8">
        <v>1.47</v>
      </c>
      <c r="I313" s="4">
        <v>0</v>
      </c>
    </row>
    <row r="314" spans="1:9" x14ac:dyDescent="0.2">
      <c r="A314" s="2">
        <v>2</v>
      </c>
      <c r="B314" s="1" t="s">
        <v>111</v>
      </c>
      <c r="C314" s="4">
        <v>246</v>
      </c>
      <c r="D314" s="8">
        <v>7.84</v>
      </c>
      <c r="E314" s="4">
        <v>188</v>
      </c>
      <c r="F314" s="8">
        <v>17.23</v>
      </c>
      <c r="G314" s="4">
        <v>58</v>
      </c>
      <c r="H314" s="8">
        <v>2.84</v>
      </c>
      <c r="I314" s="4">
        <v>0</v>
      </c>
    </row>
    <row r="315" spans="1:9" x14ac:dyDescent="0.2">
      <c r="A315" s="2">
        <v>3</v>
      </c>
      <c r="B315" s="1" t="s">
        <v>107</v>
      </c>
      <c r="C315" s="4">
        <v>225</v>
      </c>
      <c r="D315" s="8">
        <v>7.17</v>
      </c>
      <c r="E315" s="4">
        <v>35</v>
      </c>
      <c r="F315" s="8">
        <v>3.21</v>
      </c>
      <c r="G315" s="4">
        <v>189</v>
      </c>
      <c r="H315" s="8">
        <v>9.26</v>
      </c>
      <c r="I315" s="4">
        <v>0</v>
      </c>
    </row>
    <row r="316" spans="1:9" x14ac:dyDescent="0.2">
      <c r="A316" s="2">
        <v>4</v>
      </c>
      <c r="B316" s="1" t="s">
        <v>95</v>
      </c>
      <c r="C316" s="4">
        <v>202</v>
      </c>
      <c r="D316" s="8">
        <v>6.44</v>
      </c>
      <c r="E316" s="4">
        <v>29</v>
      </c>
      <c r="F316" s="8">
        <v>2.66</v>
      </c>
      <c r="G316" s="4">
        <v>173</v>
      </c>
      <c r="H316" s="8">
        <v>8.4700000000000006</v>
      </c>
      <c r="I316" s="4">
        <v>0</v>
      </c>
    </row>
    <row r="317" spans="1:9" x14ac:dyDescent="0.2">
      <c r="A317" s="2">
        <v>5</v>
      </c>
      <c r="B317" s="1" t="s">
        <v>96</v>
      </c>
      <c r="C317" s="4">
        <v>185</v>
      </c>
      <c r="D317" s="8">
        <v>5.9</v>
      </c>
      <c r="E317" s="4">
        <v>19</v>
      </c>
      <c r="F317" s="8">
        <v>1.74</v>
      </c>
      <c r="G317" s="4">
        <v>166</v>
      </c>
      <c r="H317" s="8">
        <v>8.1300000000000008</v>
      </c>
      <c r="I317" s="4">
        <v>0</v>
      </c>
    </row>
    <row r="318" spans="1:9" x14ac:dyDescent="0.2">
      <c r="A318" s="2">
        <v>6</v>
      </c>
      <c r="B318" s="1" t="s">
        <v>94</v>
      </c>
      <c r="C318" s="4">
        <v>170</v>
      </c>
      <c r="D318" s="8">
        <v>5.42</v>
      </c>
      <c r="E318" s="4">
        <v>22</v>
      </c>
      <c r="F318" s="8">
        <v>2.02</v>
      </c>
      <c r="G318" s="4">
        <v>148</v>
      </c>
      <c r="H318" s="8">
        <v>7.25</v>
      </c>
      <c r="I318" s="4">
        <v>0</v>
      </c>
    </row>
    <row r="319" spans="1:9" x14ac:dyDescent="0.2">
      <c r="A319" s="2">
        <v>7</v>
      </c>
      <c r="B319" s="1" t="s">
        <v>112</v>
      </c>
      <c r="C319" s="4">
        <v>144</v>
      </c>
      <c r="D319" s="8">
        <v>4.59</v>
      </c>
      <c r="E319" s="4">
        <v>96</v>
      </c>
      <c r="F319" s="8">
        <v>8.8000000000000007</v>
      </c>
      <c r="G319" s="4">
        <v>48</v>
      </c>
      <c r="H319" s="8">
        <v>2.35</v>
      </c>
      <c r="I319" s="4">
        <v>0</v>
      </c>
    </row>
    <row r="320" spans="1:9" x14ac:dyDescent="0.2">
      <c r="A320" s="2">
        <v>8</v>
      </c>
      <c r="B320" s="1" t="s">
        <v>105</v>
      </c>
      <c r="C320" s="4">
        <v>127</v>
      </c>
      <c r="D320" s="8">
        <v>4.05</v>
      </c>
      <c r="E320" s="4">
        <v>51</v>
      </c>
      <c r="F320" s="8">
        <v>4.67</v>
      </c>
      <c r="G320" s="4">
        <v>75</v>
      </c>
      <c r="H320" s="8">
        <v>3.67</v>
      </c>
      <c r="I320" s="4">
        <v>1</v>
      </c>
    </row>
    <row r="321" spans="1:9" x14ac:dyDescent="0.2">
      <c r="A321" s="2">
        <v>9</v>
      </c>
      <c r="B321" s="1" t="s">
        <v>104</v>
      </c>
      <c r="C321" s="4">
        <v>114</v>
      </c>
      <c r="D321" s="8">
        <v>3.64</v>
      </c>
      <c r="E321" s="4">
        <v>42</v>
      </c>
      <c r="F321" s="8">
        <v>3.85</v>
      </c>
      <c r="G321" s="4">
        <v>72</v>
      </c>
      <c r="H321" s="8">
        <v>3.53</v>
      </c>
      <c r="I321" s="4">
        <v>0</v>
      </c>
    </row>
    <row r="322" spans="1:9" x14ac:dyDescent="0.2">
      <c r="A322" s="2">
        <v>10</v>
      </c>
      <c r="B322" s="1" t="s">
        <v>108</v>
      </c>
      <c r="C322" s="4">
        <v>108</v>
      </c>
      <c r="D322" s="8">
        <v>3.44</v>
      </c>
      <c r="E322" s="4">
        <v>62</v>
      </c>
      <c r="F322" s="8">
        <v>5.68</v>
      </c>
      <c r="G322" s="4">
        <v>46</v>
      </c>
      <c r="H322" s="8">
        <v>2.25</v>
      </c>
      <c r="I322" s="4">
        <v>0</v>
      </c>
    </row>
    <row r="323" spans="1:9" x14ac:dyDescent="0.2">
      <c r="A323" s="2">
        <v>11</v>
      </c>
      <c r="B323" s="1" t="s">
        <v>113</v>
      </c>
      <c r="C323" s="4">
        <v>102</v>
      </c>
      <c r="D323" s="8">
        <v>3.25</v>
      </c>
      <c r="E323" s="4">
        <v>86</v>
      </c>
      <c r="F323" s="8">
        <v>7.88</v>
      </c>
      <c r="G323" s="4">
        <v>16</v>
      </c>
      <c r="H323" s="8">
        <v>0.78</v>
      </c>
      <c r="I323" s="4">
        <v>0</v>
      </c>
    </row>
    <row r="324" spans="1:9" x14ac:dyDescent="0.2">
      <c r="A324" s="2">
        <v>12</v>
      </c>
      <c r="B324" s="1" t="s">
        <v>100</v>
      </c>
      <c r="C324" s="4">
        <v>67</v>
      </c>
      <c r="D324" s="8">
        <v>2.14</v>
      </c>
      <c r="E324" s="4">
        <v>5</v>
      </c>
      <c r="F324" s="8">
        <v>0.46</v>
      </c>
      <c r="G324" s="4">
        <v>62</v>
      </c>
      <c r="H324" s="8">
        <v>3.04</v>
      </c>
      <c r="I324" s="4">
        <v>0</v>
      </c>
    </row>
    <row r="325" spans="1:9" x14ac:dyDescent="0.2">
      <c r="A325" s="2">
        <v>13</v>
      </c>
      <c r="B325" s="1" t="s">
        <v>97</v>
      </c>
      <c r="C325" s="4">
        <v>65</v>
      </c>
      <c r="D325" s="8">
        <v>2.0699999999999998</v>
      </c>
      <c r="E325" s="4">
        <v>17</v>
      </c>
      <c r="F325" s="8">
        <v>1.56</v>
      </c>
      <c r="G325" s="4">
        <v>48</v>
      </c>
      <c r="H325" s="8">
        <v>2.35</v>
      </c>
      <c r="I325" s="4">
        <v>0</v>
      </c>
    </row>
    <row r="326" spans="1:9" x14ac:dyDescent="0.2">
      <c r="A326" s="2">
        <v>14</v>
      </c>
      <c r="B326" s="1" t="s">
        <v>109</v>
      </c>
      <c r="C326" s="4">
        <v>64</v>
      </c>
      <c r="D326" s="8">
        <v>2.04</v>
      </c>
      <c r="E326" s="4">
        <v>21</v>
      </c>
      <c r="F326" s="8">
        <v>1.92</v>
      </c>
      <c r="G326" s="4">
        <v>43</v>
      </c>
      <c r="H326" s="8">
        <v>2.11</v>
      </c>
      <c r="I326" s="4">
        <v>0</v>
      </c>
    </row>
    <row r="327" spans="1:9" x14ac:dyDescent="0.2">
      <c r="A327" s="2">
        <v>15</v>
      </c>
      <c r="B327" s="1" t="s">
        <v>101</v>
      </c>
      <c r="C327" s="4">
        <v>61</v>
      </c>
      <c r="D327" s="8">
        <v>1.95</v>
      </c>
      <c r="E327" s="4">
        <v>8</v>
      </c>
      <c r="F327" s="8">
        <v>0.73</v>
      </c>
      <c r="G327" s="4">
        <v>53</v>
      </c>
      <c r="H327" s="8">
        <v>2.6</v>
      </c>
      <c r="I327" s="4">
        <v>0</v>
      </c>
    </row>
    <row r="328" spans="1:9" x14ac:dyDescent="0.2">
      <c r="A328" s="2">
        <v>16</v>
      </c>
      <c r="B328" s="1" t="s">
        <v>122</v>
      </c>
      <c r="C328" s="4">
        <v>57</v>
      </c>
      <c r="D328" s="8">
        <v>1.82</v>
      </c>
      <c r="E328" s="4">
        <v>25</v>
      </c>
      <c r="F328" s="8">
        <v>2.29</v>
      </c>
      <c r="G328" s="4">
        <v>32</v>
      </c>
      <c r="H328" s="8">
        <v>1.57</v>
      </c>
      <c r="I328" s="4">
        <v>0</v>
      </c>
    </row>
    <row r="329" spans="1:9" x14ac:dyDescent="0.2">
      <c r="A329" s="2">
        <v>17</v>
      </c>
      <c r="B329" s="1" t="s">
        <v>116</v>
      </c>
      <c r="C329" s="4">
        <v>51</v>
      </c>
      <c r="D329" s="8">
        <v>1.63</v>
      </c>
      <c r="E329" s="4">
        <v>0</v>
      </c>
      <c r="F329" s="8">
        <v>0</v>
      </c>
      <c r="G329" s="4">
        <v>51</v>
      </c>
      <c r="H329" s="8">
        <v>2.5</v>
      </c>
      <c r="I329" s="4">
        <v>0</v>
      </c>
    </row>
    <row r="330" spans="1:9" x14ac:dyDescent="0.2">
      <c r="A330" s="2">
        <v>18</v>
      </c>
      <c r="B330" s="1" t="s">
        <v>106</v>
      </c>
      <c r="C330" s="4">
        <v>49</v>
      </c>
      <c r="D330" s="8">
        <v>1.56</v>
      </c>
      <c r="E330" s="4">
        <v>6</v>
      </c>
      <c r="F330" s="8">
        <v>0.55000000000000004</v>
      </c>
      <c r="G330" s="4">
        <v>43</v>
      </c>
      <c r="H330" s="8">
        <v>2.11</v>
      </c>
      <c r="I330" s="4">
        <v>0</v>
      </c>
    </row>
    <row r="331" spans="1:9" x14ac:dyDescent="0.2">
      <c r="A331" s="2">
        <v>18</v>
      </c>
      <c r="B331" s="1" t="s">
        <v>115</v>
      </c>
      <c r="C331" s="4">
        <v>49</v>
      </c>
      <c r="D331" s="8">
        <v>1.56</v>
      </c>
      <c r="E331" s="4">
        <v>12</v>
      </c>
      <c r="F331" s="8">
        <v>1.1000000000000001</v>
      </c>
      <c r="G331" s="4">
        <v>37</v>
      </c>
      <c r="H331" s="8">
        <v>1.81</v>
      </c>
      <c r="I331" s="4">
        <v>0</v>
      </c>
    </row>
    <row r="332" spans="1:9" x14ac:dyDescent="0.2">
      <c r="A332" s="2">
        <v>20</v>
      </c>
      <c r="B332" s="1" t="s">
        <v>98</v>
      </c>
      <c r="C332" s="4">
        <v>45</v>
      </c>
      <c r="D332" s="8">
        <v>1.43</v>
      </c>
      <c r="E332" s="4">
        <v>4</v>
      </c>
      <c r="F332" s="8">
        <v>0.37</v>
      </c>
      <c r="G332" s="4">
        <v>41</v>
      </c>
      <c r="H332" s="8">
        <v>2.0099999999999998</v>
      </c>
      <c r="I332" s="4">
        <v>0</v>
      </c>
    </row>
    <row r="333" spans="1:9" x14ac:dyDescent="0.2">
      <c r="A333" s="1"/>
      <c r="C333" s="4"/>
      <c r="D333" s="8"/>
      <c r="E333" s="4"/>
      <c r="F333" s="8"/>
      <c r="G333" s="4"/>
      <c r="H333" s="8"/>
      <c r="I333" s="4"/>
    </row>
    <row r="334" spans="1:9" x14ac:dyDescent="0.2">
      <c r="A334" s="1" t="s">
        <v>15</v>
      </c>
      <c r="C334" s="4"/>
      <c r="D334" s="8"/>
      <c r="E334" s="4"/>
      <c r="F334" s="8"/>
      <c r="G334" s="4"/>
      <c r="H334" s="8"/>
      <c r="I334" s="4"/>
    </row>
    <row r="335" spans="1:9" x14ac:dyDescent="0.2">
      <c r="A335" s="2">
        <v>1</v>
      </c>
      <c r="B335" s="1" t="s">
        <v>111</v>
      </c>
      <c r="C335" s="4">
        <v>340</v>
      </c>
      <c r="D335" s="8">
        <v>8.98</v>
      </c>
      <c r="E335" s="4">
        <v>257</v>
      </c>
      <c r="F335" s="8">
        <v>17.72</v>
      </c>
      <c r="G335" s="4">
        <v>83</v>
      </c>
      <c r="H335" s="8">
        <v>3.56</v>
      </c>
      <c r="I335" s="4">
        <v>0</v>
      </c>
    </row>
    <row r="336" spans="1:9" x14ac:dyDescent="0.2">
      <c r="A336" s="2">
        <v>2</v>
      </c>
      <c r="B336" s="1" t="s">
        <v>110</v>
      </c>
      <c r="C336" s="4">
        <v>282</v>
      </c>
      <c r="D336" s="8">
        <v>7.45</v>
      </c>
      <c r="E336" s="4">
        <v>236</v>
      </c>
      <c r="F336" s="8">
        <v>16.28</v>
      </c>
      <c r="G336" s="4">
        <v>46</v>
      </c>
      <c r="H336" s="8">
        <v>1.97</v>
      </c>
      <c r="I336" s="4">
        <v>0</v>
      </c>
    </row>
    <row r="337" spans="1:9" x14ac:dyDescent="0.2">
      <c r="A337" s="2">
        <v>3</v>
      </c>
      <c r="B337" s="1" t="s">
        <v>112</v>
      </c>
      <c r="C337" s="4">
        <v>227</v>
      </c>
      <c r="D337" s="8">
        <v>6</v>
      </c>
      <c r="E337" s="4">
        <v>159</v>
      </c>
      <c r="F337" s="8">
        <v>10.97</v>
      </c>
      <c r="G337" s="4">
        <v>66</v>
      </c>
      <c r="H337" s="8">
        <v>2.83</v>
      </c>
      <c r="I337" s="4">
        <v>1</v>
      </c>
    </row>
    <row r="338" spans="1:9" x14ac:dyDescent="0.2">
      <c r="A338" s="2">
        <v>4</v>
      </c>
      <c r="B338" s="1" t="s">
        <v>107</v>
      </c>
      <c r="C338" s="4">
        <v>225</v>
      </c>
      <c r="D338" s="8">
        <v>5.94</v>
      </c>
      <c r="E338" s="4">
        <v>29</v>
      </c>
      <c r="F338" s="8">
        <v>2</v>
      </c>
      <c r="G338" s="4">
        <v>196</v>
      </c>
      <c r="H338" s="8">
        <v>8.41</v>
      </c>
      <c r="I338" s="4">
        <v>0</v>
      </c>
    </row>
    <row r="339" spans="1:9" x14ac:dyDescent="0.2">
      <c r="A339" s="2">
        <v>5</v>
      </c>
      <c r="B339" s="1" t="s">
        <v>96</v>
      </c>
      <c r="C339" s="4">
        <v>205</v>
      </c>
      <c r="D339" s="8">
        <v>5.41</v>
      </c>
      <c r="E339" s="4">
        <v>17</v>
      </c>
      <c r="F339" s="8">
        <v>1.17</v>
      </c>
      <c r="G339" s="4">
        <v>188</v>
      </c>
      <c r="H339" s="8">
        <v>8.07</v>
      </c>
      <c r="I339" s="4">
        <v>0</v>
      </c>
    </row>
    <row r="340" spans="1:9" x14ac:dyDescent="0.2">
      <c r="A340" s="2">
        <v>6</v>
      </c>
      <c r="B340" s="1" t="s">
        <v>94</v>
      </c>
      <c r="C340" s="4">
        <v>200</v>
      </c>
      <c r="D340" s="8">
        <v>5.28</v>
      </c>
      <c r="E340" s="4">
        <v>25</v>
      </c>
      <c r="F340" s="8">
        <v>1.72</v>
      </c>
      <c r="G340" s="4">
        <v>175</v>
      </c>
      <c r="H340" s="8">
        <v>7.51</v>
      </c>
      <c r="I340" s="4">
        <v>0</v>
      </c>
    </row>
    <row r="341" spans="1:9" x14ac:dyDescent="0.2">
      <c r="A341" s="2">
        <v>7</v>
      </c>
      <c r="B341" s="1" t="s">
        <v>95</v>
      </c>
      <c r="C341" s="4">
        <v>178</v>
      </c>
      <c r="D341" s="8">
        <v>4.7</v>
      </c>
      <c r="E341" s="4">
        <v>31</v>
      </c>
      <c r="F341" s="8">
        <v>2.14</v>
      </c>
      <c r="G341" s="4">
        <v>146</v>
      </c>
      <c r="H341" s="8">
        <v>6.26</v>
      </c>
      <c r="I341" s="4">
        <v>1</v>
      </c>
    </row>
    <row r="342" spans="1:9" x14ac:dyDescent="0.2">
      <c r="A342" s="2">
        <v>8</v>
      </c>
      <c r="B342" s="1" t="s">
        <v>105</v>
      </c>
      <c r="C342" s="4">
        <v>154</v>
      </c>
      <c r="D342" s="8">
        <v>4.07</v>
      </c>
      <c r="E342" s="4">
        <v>65</v>
      </c>
      <c r="F342" s="8">
        <v>4.4800000000000004</v>
      </c>
      <c r="G342" s="4">
        <v>89</v>
      </c>
      <c r="H342" s="8">
        <v>3.82</v>
      </c>
      <c r="I342" s="4">
        <v>0</v>
      </c>
    </row>
    <row r="343" spans="1:9" x14ac:dyDescent="0.2">
      <c r="A343" s="2">
        <v>9</v>
      </c>
      <c r="B343" s="1" t="s">
        <v>113</v>
      </c>
      <c r="C343" s="4">
        <v>145</v>
      </c>
      <c r="D343" s="8">
        <v>3.83</v>
      </c>
      <c r="E343" s="4">
        <v>128</v>
      </c>
      <c r="F343" s="8">
        <v>8.83</v>
      </c>
      <c r="G343" s="4">
        <v>17</v>
      </c>
      <c r="H343" s="8">
        <v>0.73</v>
      </c>
      <c r="I343" s="4">
        <v>0</v>
      </c>
    </row>
    <row r="344" spans="1:9" x14ac:dyDescent="0.2">
      <c r="A344" s="2">
        <v>10</v>
      </c>
      <c r="B344" s="1" t="s">
        <v>108</v>
      </c>
      <c r="C344" s="4">
        <v>137</v>
      </c>
      <c r="D344" s="8">
        <v>3.62</v>
      </c>
      <c r="E344" s="4">
        <v>84</v>
      </c>
      <c r="F344" s="8">
        <v>5.79</v>
      </c>
      <c r="G344" s="4">
        <v>53</v>
      </c>
      <c r="H344" s="8">
        <v>2.27</v>
      </c>
      <c r="I344" s="4">
        <v>0</v>
      </c>
    </row>
    <row r="345" spans="1:9" x14ac:dyDescent="0.2">
      <c r="A345" s="2">
        <v>11</v>
      </c>
      <c r="B345" s="1" t="s">
        <v>97</v>
      </c>
      <c r="C345" s="4">
        <v>135</v>
      </c>
      <c r="D345" s="8">
        <v>3.57</v>
      </c>
      <c r="E345" s="4">
        <v>34</v>
      </c>
      <c r="F345" s="8">
        <v>2.34</v>
      </c>
      <c r="G345" s="4">
        <v>101</v>
      </c>
      <c r="H345" s="8">
        <v>4.33</v>
      </c>
      <c r="I345" s="4">
        <v>0</v>
      </c>
    </row>
    <row r="346" spans="1:9" x14ac:dyDescent="0.2">
      <c r="A346" s="2">
        <v>12</v>
      </c>
      <c r="B346" s="1" t="s">
        <v>98</v>
      </c>
      <c r="C346" s="4">
        <v>124</v>
      </c>
      <c r="D346" s="8">
        <v>3.28</v>
      </c>
      <c r="E346" s="4">
        <v>24</v>
      </c>
      <c r="F346" s="8">
        <v>1.66</v>
      </c>
      <c r="G346" s="4">
        <v>100</v>
      </c>
      <c r="H346" s="8">
        <v>4.29</v>
      </c>
      <c r="I346" s="4">
        <v>0</v>
      </c>
    </row>
    <row r="347" spans="1:9" x14ac:dyDescent="0.2">
      <c r="A347" s="2">
        <v>13</v>
      </c>
      <c r="B347" s="1" t="s">
        <v>104</v>
      </c>
      <c r="C347" s="4">
        <v>110</v>
      </c>
      <c r="D347" s="8">
        <v>2.91</v>
      </c>
      <c r="E347" s="4">
        <v>51</v>
      </c>
      <c r="F347" s="8">
        <v>3.52</v>
      </c>
      <c r="G347" s="4">
        <v>59</v>
      </c>
      <c r="H347" s="8">
        <v>2.5299999999999998</v>
      </c>
      <c r="I347" s="4">
        <v>0</v>
      </c>
    </row>
    <row r="348" spans="1:9" x14ac:dyDescent="0.2">
      <c r="A348" s="2">
        <v>14</v>
      </c>
      <c r="B348" s="1" t="s">
        <v>102</v>
      </c>
      <c r="C348" s="4">
        <v>94</v>
      </c>
      <c r="D348" s="8">
        <v>2.48</v>
      </c>
      <c r="E348" s="4">
        <v>26</v>
      </c>
      <c r="F348" s="8">
        <v>1.79</v>
      </c>
      <c r="G348" s="4">
        <v>68</v>
      </c>
      <c r="H348" s="8">
        <v>2.92</v>
      </c>
      <c r="I348" s="4">
        <v>0</v>
      </c>
    </row>
    <row r="349" spans="1:9" x14ac:dyDescent="0.2">
      <c r="A349" s="2">
        <v>15</v>
      </c>
      <c r="B349" s="1" t="s">
        <v>109</v>
      </c>
      <c r="C349" s="4">
        <v>88</v>
      </c>
      <c r="D349" s="8">
        <v>2.3199999999999998</v>
      </c>
      <c r="E349" s="4">
        <v>41</v>
      </c>
      <c r="F349" s="8">
        <v>2.83</v>
      </c>
      <c r="G349" s="4">
        <v>47</v>
      </c>
      <c r="H349" s="8">
        <v>2.02</v>
      </c>
      <c r="I349" s="4">
        <v>0</v>
      </c>
    </row>
    <row r="350" spans="1:9" x14ac:dyDescent="0.2">
      <c r="A350" s="2">
        <v>16</v>
      </c>
      <c r="B350" s="1" t="s">
        <v>115</v>
      </c>
      <c r="C350" s="4">
        <v>81</v>
      </c>
      <c r="D350" s="8">
        <v>2.14</v>
      </c>
      <c r="E350" s="4">
        <v>21</v>
      </c>
      <c r="F350" s="8">
        <v>1.45</v>
      </c>
      <c r="G350" s="4">
        <v>60</v>
      </c>
      <c r="H350" s="8">
        <v>2.57</v>
      </c>
      <c r="I350" s="4">
        <v>0</v>
      </c>
    </row>
    <row r="351" spans="1:9" x14ac:dyDescent="0.2">
      <c r="A351" s="2">
        <v>17</v>
      </c>
      <c r="B351" s="1" t="s">
        <v>106</v>
      </c>
      <c r="C351" s="4">
        <v>72</v>
      </c>
      <c r="D351" s="8">
        <v>1.9</v>
      </c>
      <c r="E351" s="4">
        <v>13</v>
      </c>
      <c r="F351" s="8">
        <v>0.9</v>
      </c>
      <c r="G351" s="4">
        <v>59</v>
      </c>
      <c r="H351" s="8">
        <v>2.5299999999999998</v>
      </c>
      <c r="I351" s="4">
        <v>0</v>
      </c>
    </row>
    <row r="352" spans="1:9" x14ac:dyDescent="0.2">
      <c r="A352" s="2">
        <v>18</v>
      </c>
      <c r="B352" s="1" t="s">
        <v>100</v>
      </c>
      <c r="C352" s="4">
        <v>67</v>
      </c>
      <c r="D352" s="8">
        <v>1.77</v>
      </c>
      <c r="E352" s="4">
        <v>5</v>
      </c>
      <c r="F352" s="8">
        <v>0.34</v>
      </c>
      <c r="G352" s="4">
        <v>62</v>
      </c>
      <c r="H352" s="8">
        <v>2.66</v>
      </c>
      <c r="I352" s="4">
        <v>0</v>
      </c>
    </row>
    <row r="353" spans="1:9" x14ac:dyDescent="0.2">
      <c r="A353" s="2">
        <v>18</v>
      </c>
      <c r="B353" s="1" t="s">
        <v>103</v>
      </c>
      <c r="C353" s="4">
        <v>67</v>
      </c>
      <c r="D353" s="8">
        <v>1.77</v>
      </c>
      <c r="E353" s="4">
        <v>35</v>
      </c>
      <c r="F353" s="8">
        <v>2.41</v>
      </c>
      <c r="G353" s="4">
        <v>32</v>
      </c>
      <c r="H353" s="8">
        <v>1.37</v>
      </c>
      <c r="I353" s="4">
        <v>0</v>
      </c>
    </row>
    <row r="354" spans="1:9" x14ac:dyDescent="0.2">
      <c r="A354" s="2">
        <v>20</v>
      </c>
      <c r="B354" s="1" t="s">
        <v>124</v>
      </c>
      <c r="C354" s="4">
        <v>57</v>
      </c>
      <c r="D354" s="8">
        <v>1.51</v>
      </c>
      <c r="E354" s="4">
        <v>6</v>
      </c>
      <c r="F354" s="8">
        <v>0.41</v>
      </c>
      <c r="G354" s="4">
        <v>51</v>
      </c>
      <c r="H354" s="8">
        <v>2.19</v>
      </c>
      <c r="I354" s="4">
        <v>0</v>
      </c>
    </row>
    <row r="355" spans="1:9" x14ac:dyDescent="0.2">
      <c r="A355" s="1"/>
      <c r="C355" s="4"/>
      <c r="D355" s="8"/>
      <c r="E355" s="4"/>
      <c r="F355" s="8"/>
      <c r="G355" s="4"/>
      <c r="H355" s="8"/>
      <c r="I355" s="4"/>
    </row>
    <row r="356" spans="1:9" x14ac:dyDescent="0.2">
      <c r="A356" s="1" t="s">
        <v>16</v>
      </c>
      <c r="C356" s="4"/>
      <c r="D356" s="8"/>
      <c r="E356" s="4"/>
      <c r="F356" s="8"/>
      <c r="G356" s="4"/>
      <c r="H356" s="8"/>
      <c r="I356" s="4"/>
    </row>
    <row r="357" spans="1:9" x14ac:dyDescent="0.2">
      <c r="A357" s="2">
        <v>1</v>
      </c>
      <c r="B357" s="1" t="s">
        <v>107</v>
      </c>
      <c r="C357" s="4">
        <v>421</v>
      </c>
      <c r="D357" s="8">
        <v>12.65</v>
      </c>
      <c r="E357" s="4">
        <v>35</v>
      </c>
      <c r="F357" s="8">
        <v>2.89</v>
      </c>
      <c r="G357" s="4">
        <v>384</v>
      </c>
      <c r="H357" s="8">
        <v>18.16</v>
      </c>
      <c r="I357" s="4">
        <v>2</v>
      </c>
    </row>
    <row r="358" spans="1:9" x14ac:dyDescent="0.2">
      <c r="A358" s="2">
        <v>2</v>
      </c>
      <c r="B358" s="1" t="s">
        <v>111</v>
      </c>
      <c r="C358" s="4">
        <v>333</v>
      </c>
      <c r="D358" s="8">
        <v>10.01</v>
      </c>
      <c r="E358" s="4">
        <v>247</v>
      </c>
      <c r="F358" s="8">
        <v>20.41</v>
      </c>
      <c r="G358" s="4">
        <v>86</v>
      </c>
      <c r="H358" s="8">
        <v>4.07</v>
      </c>
      <c r="I358" s="4">
        <v>0</v>
      </c>
    </row>
    <row r="359" spans="1:9" x14ac:dyDescent="0.2">
      <c r="A359" s="2">
        <v>3</v>
      </c>
      <c r="B359" s="1" t="s">
        <v>110</v>
      </c>
      <c r="C359" s="4">
        <v>331</v>
      </c>
      <c r="D359" s="8">
        <v>9.9499999999999993</v>
      </c>
      <c r="E359" s="4">
        <v>278</v>
      </c>
      <c r="F359" s="8">
        <v>22.98</v>
      </c>
      <c r="G359" s="4">
        <v>53</v>
      </c>
      <c r="H359" s="8">
        <v>2.5099999999999998</v>
      </c>
      <c r="I359" s="4">
        <v>0</v>
      </c>
    </row>
    <row r="360" spans="1:9" x14ac:dyDescent="0.2">
      <c r="A360" s="2">
        <v>4</v>
      </c>
      <c r="B360" s="1" t="s">
        <v>112</v>
      </c>
      <c r="C360" s="4">
        <v>191</v>
      </c>
      <c r="D360" s="8">
        <v>5.74</v>
      </c>
      <c r="E360" s="4">
        <v>120</v>
      </c>
      <c r="F360" s="8">
        <v>9.92</v>
      </c>
      <c r="G360" s="4">
        <v>70</v>
      </c>
      <c r="H360" s="8">
        <v>3.31</v>
      </c>
      <c r="I360" s="4">
        <v>1</v>
      </c>
    </row>
    <row r="361" spans="1:9" x14ac:dyDescent="0.2">
      <c r="A361" s="2">
        <v>5</v>
      </c>
      <c r="B361" s="1" t="s">
        <v>108</v>
      </c>
      <c r="C361" s="4">
        <v>187</v>
      </c>
      <c r="D361" s="8">
        <v>5.62</v>
      </c>
      <c r="E361" s="4">
        <v>96</v>
      </c>
      <c r="F361" s="8">
        <v>7.93</v>
      </c>
      <c r="G361" s="4">
        <v>91</v>
      </c>
      <c r="H361" s="8">
        <v>4.3</v>
      </c>
      <c r="I361" s="4">
        <v>0</v>
      </c>
    </row>
    <row r="362" spans="1:9" x14ac:dyDescent="0.2">
      <c r="A362" s="2">
        <v>6</v>
      </c>
      <c r="B362" s="1" t="s">
        <v>105</v>
      </c>
      <c r="C362" s="4">
        <v>156</v>
      </c>
      <c r="D362" s="8">
        <v>4.6900000000000004</v>
      </c>
      <c r="E362" s="4">
        <v>71</v>
      </c>
      <c r="F362" s="8">
        <v>5.87</v>
      </c>
      <c r="G362" s="4">
        <v>85</v>
      </c>
      <c r="H362" s="8">
        <v>4.0199999999999996</v>
      </c>
      <c r="I362" s="4">
        <v>0</v>
      </c>
    </row>
    <row r="363" spans="1:9" x14ac:dyDescent="0.2">
      <c r="A363" s="2">
        <v>7</v>
      </c>
      <c r="B363" s="1" t="s">
        <v>113</v>
      </c>
      <c r="C363" s="4">
        <v>150</v>
      </c>
      <c r="D363" s="8">
        <v>4.51</v>
      </c>
      <c r="E363" s="4">
        <v>126</v>
      </c>
      <c r="F363" s="8">
        <v>10.41</v>
      </c>
      <c r="G363" s="4">
        <v>24</v>
      </c>
      <c r="H363" s="8">
        <v>1.1299999999999999</v>
      </c>
      <c r="I363" s="4">
        <v>0</v>
      </c>
    </row>
    <row r="364" spans="1:9" x14ac:dyDescent="0.2">
      <c r="A364" s="2">
        <v>8</v>
      </c>
      <c r="B364" s="1" t="s">
        <v>94</v>
      </c>
      <c r="C364" s="4">
        <v>145</v>
      </c>
      <c r="D364" s="8">
        <v>4.3600000000000003</v>
      </c>
      <c r="E364" s="4">
        <v>7</v>
      </c>
      <c r="F364" s="8">
        <v>0.57999999999999996</v>
      </c>
      <c r="G364" s="4">
        <v>138</v>
      </c>
      <c r="H364" s="8">
        <v>6.52</v>
      </c>
      <c r="I364" s="4">
        <v>0</v>
      </c>
    </row>
    <row r="365" spans="1:9" x14ac:dyDescent="0.2">
      <c r="A365" s="2">
        <v>9</v>
      </c>
      <c r="B365" s="1" t="s">
        <v>95</v>
      </c>
      <c r="C365" s="4">
        <v>134</v>
      </c>
      <c r="D365" s="8">
        <v>4.03</v>
      </c>
      <c r="E365" s="4">
        <v>17</v>
      </c>
      <c r="F365" s="8">
        <v>1.4</v>
      </c>
      <c r="G365" s="4">
        <v>117</v>
      </c>
      <c r="H365" s="8">
        <v>5.53</v>
      </c>
      <c r="I365" s="4">
        <v>0</v>
      </c>
    </row>
    <row r="366" spans="1:9" x14ac:dyDescent="0.2">
      <c r="A366" s="2">
        <v>9</v>
      </c>
      <c r="B366" s="1" t="s">
        <v>100</v>
      </c>
      <c r="C366" s="4">
        <v>134</v>
      </c>
      <c r="D366" s="8">
        <v>4.03</v>
      </c>
      <c r="E366" s="4">
        <v>5</v>
      </c>
      <c r="F366" s="8">
        <v>0.41</v>
      </c>
      <c r="G366" s="4">
        <v>129</v>
      </c>
      <c r="H366" s="8">
        <v>6.1</v>
      </c>
      <c r="I366" s="4">
        <v>0</v>
      </c>
    </row>
    <row r="367" spans="1:9" x14ac:dyDescent="0.2">
      <c r="A367" s="2">
        <v>11</v>
      </c>
      <c r="B367" s="1" t="s">
        <v>109</v>
      </c>
      <c r="C367" s="4">
        <v>90</v>
      </c>
      <c r="D367" s="8">
        <v>2.7</v>
      </c>
      <c r="E367" s="4">
        <v>24</v>
      </c>
      <c r="F367" s="8">
        <v>1.98</v>
      </c>
      <c r="G367" s="4">
        <v>66</v>
      </c>
      <c r="H367" s="8">
        <v>3.12</v>
      </c>
      <c r="I367" s="4">
        <v>0</v>
      </c>
    </row>
    <row r="368" spans="1:9" x14ac:dyDescent="0.2">
      <c r="A368" s="2">
        <v>12</v>
      </c>
      <c r="B368" s="1" t="s">
        <v>106</v>
      </c>
      <c r="C368" s="4">
        <v>87</v>
      </c>
      <c r="D368" s="8">
        <v>2.61</v>
      </c>
      <c r="E368" s="4">
        <v>8</v>
      </c>
      <c r="F368" s="8">
        <v>0.66</v>
      </c>
      <c r="G368" s="4">
        <v>79</v>
      </c>
      <c r="H368" s="8">
        <v>3.74</v>
      </c>
      <c r="I368" s="4">
        <v>0</v>
      </c>
    </row>
    <row r="369" spans="1:9" x14ac:dyDescent="0.2">
      <c r="A369" s="2">
        <v>13</v>
      </c>
      <c r="B369" s="1" t="s">
        <v>96</v>
      </c>
      <c r="C369" s="4">
        <v>85</v>
      </c>
      <c r="D369" s="8">
        <v>2.5499999999999998</v>
      </c>
      <c r="E369" s="4">
        <v>5</v>
      </c>
      <c r="F369" s="8">
        <v>0.41</v>
      </c>
      <c r="G369" s="4">
        <v>80</v>
      </c>
      <c r="H369" s="8">
        <v>3.78</v>
      </c>
      <c r="I369" s="4">
        <v>0</v>
      </c>
    </row>
    <row r="370" spans="1:9" x14ac:dyDescent="0.2">
      <c r="A370" s="2">
        <v>14</v>
      </c>
      <c r="B370" s="1" t="s">
        <v>101</v>
      </c>
      <c r="C370" s="4">
        <v>71</v>
      </c>
      <c r="D370" s="8">
        <v>2.13</v>
      </c>
      <c r="E370" s="4">
        <v>2</v>
      </c>
      <c r="F370" s="8">
        <v>0.17</v>
      </c>
      <c r="G370" s="4">
        <v>69</v>
      </c>
      <c r="H370" s="8">
        <v>3.26</v>
      </c>
      <c r="I370" s="4">
        <v>0</v>
      </c>
    </row>
    <row r="371" spans="1:9" x14ac:dyDescent="0.2">
      <c r="A371" s="2">
        <v>15</v>
      </c>
      <c r="B371" s="1" t="s">
        <v>102</v>
      </c>
      <c r="C371" s="4">
        <v>64</v>
      </c>
      <c r="D371" s="8">
        <v>1.92</v>
      </c>
      <c r="E371" s="4">
        <v>28</v>
      </c>
      <c r="F371" s="8">
        <v>2.31</v>
      </c>
      <c r="G371" s="4">
        <v>36</v>
      </c>
      <c r="H371" s="8">
        <v>1.7</v>
      </c>
      <c r="I371" s="4">
        <v>0</v>
      </c>
    </row>
    <row r="372" spans="1:9" x14ac:dyDescent="0.2">
      <c r="A372" s="2">
        <v>16</v>
      </c>
      <c r="B372" s="1" t="s">
        <v>114</v>
      </c>
      <c r="C372" s="4">
        <v>60</v>
      </c>
      <c r="D372" s="8">
        <v>1.8</v>
      </c>
      <c r="E372" s="4">
        <v>4</v>
      </c>
      <c r="F372" s="8">
        <v>0.33</v>
      </c>
      <c r="G372" s="4">
        <v>56</v>
      </c>
      <c r="H372" s="8">
        <v>2.65</v>
      </c>
      <c r="I372" s="4">
        <v>0</v>
      </c>
    </row>
    <row r="373" spans="1:9" x14ac:dyDescent="0.2">
      <c r="A373" s="2">
        <v>17</v>
      </c>
      <c r="B373" s="1" t="s">
        <v>103</v>
      </c>
      <c r="C373" s="4">
        <v>58</v>
      </c>
      <c r="D373" s="8">
        <v>1.74</v>
      </c>
      <c r="E373" s="4">
        <v>33</v>
      </c>
      <c r="F373" s="8">
        <v>2.73</v>
      </c>
      <c r="G373" s="4">
        <v>25</v>
      </c>
      <c r="H373" s="8">
        <v>1.18</v>
      </c>
      <c r="I373" s="4">
        <v>0</v>
      </c>
    </row>
    <row r="374" spans="1:9" x14ac:dyDescent="0.2">
      <c r="A374" s="2">
        <v>17</v>
      </c>
      <c r="B374" s="1" t="s">
        <v>104</v>
      </c>
      <c r="C374" s="4">
        <v>58</v>
      </c>
      <c r="D374" s="8">
        <v>1.74</v>
      </c>
      <c r="E374" s="4">
        <v>18</v>
      </c>
      <c r="F374" s="8">
        <v>1.49</v>
      </c>
      <c r="G374" s="4">
        <v>40</v>
      </c>
      <c r="H374" s="8">
        <v>1.89</v>
      </c>
      <c r="I374" s="4">
        <v>0</v>
      </c>
    </row>
    <row r="375" spans="1:9" x14ac:dyDescent="0.2">
      <c r="A375" s="2">
        <v>19</v>
      </c>
      <c r="B375" s="1" t="s">
        <v>99</v>
      </c>
      <c r="C375" s="4">
        <v>56</v>
      </c>
      <c r="D375" s="8">
        <v>1.68</v>
      </c>
      <c r="E375" s="4">
        <v>4</v>
      </c>
      <c r="F375" s="8">
        <v>0.33</v>
      </c>
      <c r="G375" s="4">
        <v>52</v>
      </c>
      <c r="H375" s="8">
        <v>2.46</v>
      </c>
      <c r="I375" s="4">
        <v>0</v>
      </c>
    </row>
    <row r="376" spans="1:9" x14ac:dyDescent="0.2">
      <c r="A376" s="2">
        <v>20</v>
      </c>
      <c r="B376" s="1" t="s">
        <v>115</v>
      </c>
      <c r="C376" s="4">
        <v>53</v>
      </c>
      <c r="D376" s="8">
        <v>1.59</v>
      </c>
      <c r="E376" s="4">
        <v>13</v>
      </c>
      <c r="F376" s="8">
        <v>1.07</v>
      </c>
      <c r="G376" s="4">
        <v>40</v>
      </c>
      <c r="H376" s="8">
        <v>1.89</v>
      </c>
      <c r="I376" s="4">
        <v>0</v>
      </c>
    </row>
    <row r="377" spans="1:9" x14ac:dyDescent="0.2">
      <c r="A377" s="1"/>
      <c r="C377" s="4"/>
      <c r="D377" s="8"/>
      <c r="E377" s="4"/>
      <c r="F377" s="8"/>
      <c r="G377" s="4"/>
      <c r="H377" s="8"/>
      <c r="I377" s="4"/>
    </row>
    <row r="378" spans="1:9" x14ac:dyDescent="0.2">
      <c r="A378" s="1" t="s">
        <v>17</v>
      </c>
      <c r="C378" s="4"/>
      <c r="D378" s="8"/>
      <c r="E378" s="4"/>
      <c r="F378" s="8"/>
      <c r="G378" s="4"/>
      <c r="H378" s="8"/>
      <c r="I378" s="4"/>
    </row>
    <row r="379" spans="1:9" x14ac:dyDescent="0.2">
      <c r="A379" s="2">
        <v>1</v>
      </c>
      <c r="B379" s="1" t="s">
        <v>107</v>
      </c>
      <c r="C379" s="4">
        <v>294</v>
      </c>
      <c r="D379" s="8">
        <v>9.31</v>
      </c>
      <c r="E379" s="4">
        <v>21</v>
      </c>
      <c r="F379" s="8">
        <v>1.79</v>
      </c>
      <c r="G379" s="4">
        <v>273</v>
      </c>
      <c r="H379" s="8">
        <v>13.74</v>
      </c>
      <c r="I379" s="4">
        <v>0</v>
      </c>
    </row>
    <row r="380" spans="1:9" x14ac:dyDescent="0.2">
      <c r="A380" s="2">
        <v>2</v>
      </c>
      <c r="B380" s="1" t="s">
        <v>111</v>
      </c>
      <c r="C380" s="4">
        <v>290</v>
      </c>
      <c r="D380" s="8">
        <v>9.18</v>
      </c>
      <c r="E380" s="4">
        <v>229</v>
      </c>
      <c r="F380" s="8">
        <v>19.57</v>
      </c>
      <c r="G380" s="4">
        <v>61</v>
      </c>
      <c r="H380" s="8">
        <v>3.07</v>
      </c>
      <c r="I380" s="4">
        <v>0</v>
      </c>
    </row>
    <row r="381" spans="1:9" x14ac:dyDescent="0.2">
      <c r="A381" s="2">
        <v>3</v>
      </c>
      <c r="B381" s="1" t="s">
        <v>110</v>
      </c>
      <c r="C381" s="4">
        <v>272</v>
      </c>
      <c r="D381" s="8">
        <v>8.61</v>
      </c>
      <c r="E381" s="4">
        <v>228</v>
      </c>
      <c r="F381" s="8">
        <v>19.489999999999998</v>
      </c>
      <c r="G381" s="4">
        <v>44</v>
      </c>
      <c r="H381" s="8">
        <v>2.21</v>
      </c>
      <c r="I381" s="4">
        <v>0</v>
      </c>
    </row>
    <row r="382" spans="1:9" x14ac:dyDescent="0.2">
      <c r="A382" s="2">
        <v>4</v>
      </c>
      <c r="B382" s="1" t="s">
        <v>95</v>
      </c>
      <c r="C382" s="4">
        <v>150</v>
      </c>
      <c r="D382" s="8">
        <v>4.75</v>
      </c>
      <c r="E382" s="4">
        <v>17</v>
      </c>
      <c r="F382" s="8">
        <v>1.45</v>
      </c>
      <c r="G382" s="4">
        <v>133</v>
      </c>
      <c r="H382" s="8">
        <v>6.69</v>
      </c>
      <c r="I382" s="4">
        <v>0</v>
      </c>
    </row>
    <row r="383" spans="1:9" x14ac:dyDescent="0.2">
      <c r="A383" s="2">
        <v>5</v>
      </c>
      <c r="B383" s="1" t="s">
        <v>94</v>
      </c>
      <c r="C383" s="4">
        <v>149</v>
      </c>
      <c r="D383" s="8">
        <v>4.72</v>
      </c>
      <c r="E383" s="4">
        <v>14</v>
      </c>
      <c r="F383" s="8">
        <v>1.2</v>
      </c>
      <c r="G383" s="4">
        <v>135</v>
      </c>
      <c r="H383" s="8">
        <v>6.79</v>
      </c>
      <c r="I383" s="4">
        <v>0</v>
      </c>
    </row>
    <row r="384" spans="1:9" x14ac:dyDescent="0.2">
      <c r="A384" s="2">
        <v>6</v>
      </c>
      <c r="B384" s="1" t="s">
        <v>108</v>
      </c>
      <c r="C384" s="4">
        <v>148</v>
      </c>
      <c r="D384" s="8">
        <v>4.6900000000000004</v>
      </c>
      <c r="E384" s="4">
        <v>78</v>
      </c>
      <c r="F384" s="8">
        <v>6.67</v>
      </c>
      <c r="G384" s="4">
        <v>70</v>
      </c>
      <c r="H384" s="8">
        <v>3.52</v>
      </c>
      <c r="I384" s="4">
        <v>0</v>
      </c>
    </row>
    <row r="385" spans="1:9" x14ac:dyDescent="0.2">
      <c r="A385" s="2">
        <v>7</v>
      </c>
      <c r="B385" s="1" t="s">
        <v>96</v>
      </c>
      <c r="C385" s="4">
        <v>144</v>
      </c>
      <c r="D385" s="8">
        <v>4.5599999999999996</v>
      </c>
      <c r="E385" s="4">
        <v>16</v>
      </c>
      <c r="F385" s="8">
        <v>1.37</v>
      </c>
      <c r="G385" s="4">
        <v>128</v>
      </c>
      <c r="H385" s="8">
        <v>6.44</v>
      </c>
      <c r="I385" s="4">
        <v>0</v>
      </c>
    </row>
    <row r="386" spans="1:9" x14ac:dyDescent="0.2">
      <c r="A386" s="2">
        <v>8</v>
      </c>
      <c r="B386" s="1" t="s">
        <v>112</v>
      </c>
      <c r="C386" s="4">
        <v>141</v>
      </c>
      <c r="D386" s="8">
        <v>4.46</v>
      </c>
      <c r="E386" s="4">
        <v>92</v>
      </c>
      <c r="F386" s="8">
        <v>7.86</v>
      </c>
      <c r="G386" s="4">
        <v>49</v>
      </c>
      <c r="H386" s="8">
        <v>2.4700000000000002</v>
      </c>
      <c r="I386" s="4">
        <v>0</v>
      </c>
    </row>
    <row r="387" spans="1:9" x14ac:dyDescent="0.2">
      <c r="A387" s="2">
        <v>9</v>
      </c>
      <c r="B387" s="1" t="s">
        <v>105</v>
      </c>
      <c r="C387" s="4">
        <v>134</v>
      </c>
      <c r="D387" s="8">
        <v>4.24</v>
      </c>
      <c r="E387" s="4">
        <v>64</v>
      </c>
      <c r="F387" s="8">
        <v>5.47</v>
      </c>
      <c r="G387" s="4">
        <v>70</v>
      </c>
      <c r="H387" s="8">
        <v>3.52</v>
      </c>
      <c r="I387" s="4">
        <v>0</v>
      </c>
    </row>
    <row r="388" spans="1:9" x14ac:dyDescent="0.2">
      <c r="A388" s="2">
        <v>10</v>
      </c>
      <c r="B388" s="1" t="s">
        <v>113</v>
      </c>
      <c r="C388" s="4">
        <v>126</v>
      </c>
      <c r="D388" s="8">
        <v>3.99</v>
      </c>
      <c r="E388" s="4">
        <v>106</v>
      </c>
      <c r="F388" s="8">
        <v>9.06</v>
      </c>
      <c r="G388" s="4">
        <v>20</v>
      </c>
      <c r="H388" s="8">
        <v>1.01</v>
      </c>
      <c r="I388" s="4">
        <v>0</v>
      </c>
    </row>
    <row r="389" spans="1:9" x14ac:dyDescent="0.2">
      <c r="A389" s="2">
        <v>11</v>
      </c>
      <c r="B389" s="1" t="s">
        <v>104</v>
      </c>
      <c r="C389" s="4">
        <v>111</v>
      </c>
      <c r="D389" s="8">
        <v>3.51</v>
      </c>
      <c r="E389" s="4">
        <v>49</v>
      </c>
      <c r="F389" s="8">
        <v>4.1900000000000004</v>
      </c>
      <c r="G389" s="4">
        <v>62</v>
      </c>
      <c r="H389" s="8">
        <v>3.12</v>
      </c>
      <c r="I389" s="4">
        <v>0</v>
      </c>
    </row>
    <row r="390" spans="1:9" x14ac:dyDescent="0.2">
      <c r="A390" s="2">
        <v>12</v>
      </c>
      <c r="B390" s="1" t="s">
        <v>100</v>
      </c>
      <c r="C390" s="4">
        <v>88</v>
      </c>
      <c r="D390" s="8">
        <v>2.79</v>
      </c>
      <c r="E390" s="4">
        <v>12</v>
      </c>
      <c r="F390" s="8">
        <v>1.03</v>
      </c>
      <c r="G390" s="4">
        <v>76</v>
      </c>
      <c r="H390" s="8">
        <v>3.82</v>
      </c>
      <c r="I390" s="4">
        <v>0</v>
      </c>
    </row>
    <row r="391" spans="1:9" x14ac:dyDescent="0.2">
      <c r="A391" s="2">
        <v>13</v>
      </c>
      <c r="B391" s="1" t="s">
        <v>109</v>
      </c>
      <c r="C391" s="4">
        <v>83</v>
      </c>
      <c r="D391" s="8">
        <v>2.63</v>
      </c>
      <c r="E391" s="4">
        <v>31</v>
      </c>
      <c r="F391" s="8">
        <v>2.65</v>
      </c>
      <c r="G391" s="4">
        <v>52</v>
      </c>
      <c r="H391" s="8">
        <v>2.62</v>
      </c>
      <c r="I391" s="4">
        <v>0</v>
      </c>
    </row>
    <row r="392" spans="1:9" x14ac:dyDescent="0.2">
      <c r="A392" s="2">
        <v>14</v>
      </c>
      <c r="B392" s="1" t="s">
        <v>103</v>
      </c>
      <c r="C392" s="4">
        <v>76</v>
      </c>
      <c r="D392" s="8">
        <v>2.41</v>
      </c>
      <c r="E392" s="4">
        <v>41</v>
      </c>
      <c r="F392" s="8">
        <v>3.5</v>
      </c>
      <c r="G392" s="4">
        <v>34</v>
      </c>
      <c r="H392" s="8">
        <v>1.71</v>
      </c>
      <c r="I392" s="4">
        <v>1</v>
      </c>
    </row>
    <row r="393" spans="1:9" x14ac:dyDescent="0.2">
      <c r="A393" s="2">
        <v>15</v>
      </c>
      <c r="B393" s="1" t="s">
        <v>106</v>
      </c>
      <c r="C393" s="4">
        <v>63</v>
      </c>
      <c r="D393" s="8">
        <v>1.99</v>
      </c>
      <c r="E393" s="4">
        <v>8</v>
      </c>
      <c r="F393" s="8">
        <v>0.68</v>
      </c>
      <c r="G393" s="4">
        <v>55</v>
      </c>
      <c r="H393" s="8">
        <v>2.77</v>
      </c>
      <c r="I393" s="4">
        <v>0</v>
      </c>
    </row>
    <row r="394" spans="1:9" x14ac:dyDescent="0.2">
      <c r="A394" s="2">
        <v>15</v>
      </c>
      <c r="B394" s="1" t="s">
        <v>116</v>
      </c>
      <c r="C394" s="4">
        <v>63</v>
      </c>
      <c r="D394" s="8">
        <v>1.99</v>
      </c>
      <c r="E394" s="4">
        <v>0</v>
      </c>
      <c r="F394" s="8">
        <v>0</v>
      </c>
      <c r="G394" s="4">
        <v>63</v>
      </c>
      <c r="H394" s="8">
        <v>3.17</v>
      </c>
      <c r="I394" s="4">
        <v>0</v>
      </c>
    </row>
    <row r="395" spans="1:9" x14ac:dyDescent="0.2">
      <c r="A395" s="2">
        <v>17</v>
      </c>
      <c r="B395" s="1" t="s">
        <v>101</v>
      </c>
      <c r="C395" s="4">
        <v>55</v>
      </c>
      <c r="D395" s="8">
        <v>1.74</v>
      </c>
      <c r="E395" s="4">
        <v>9</v>
      </c>
      <c r="F395" s="8">
        <v>0.77</v>
      </c>
      <c r="G395" s="4">
        <v>46</v>
      </c>
      <c r="H395" s="8">
        <v>2.3199999999999998</v>
      </c>
      <c r="I395" s="4">
        <v>0</v>
      </c>
    </row>
    <row r="396" spans="1:9" x14ac:dyDescent="0.2">
      <c r="A396" s="2">
        <v>18</v>
      </c>
      <c r="B396" s="1" t="s">
        <v>99</v>
      </c>
      <c r="C396" s="4">
        <v>54</v>
      </c>
      <c r="D396" s="8">
        <v>1.71</v>
      </c>
      <c r="E396" s="4">
        <v>9</v>
      </c>
      <c r="F396" s="8">
        <v>0.77</v>
      </c>
      <c r="G396" s="4">
        <v>45</v>
      </c>
      <c r="H396" s="8">
        <v>2.2599999999999998</v>
      </c>
      <c r="I396" s="4">
        <v>0</v>
      </c>
    </row>
    <row r="397" spans="1:9" x14ac:dyDescent="0.2">
      <c r="A397" s="2">
        <v>19</v>
      </c>
      <c r="B397" s="1" t="s">
        <v>115</v>
      </c>
      <c r="C397" s="4">
        <v>50</v>
      </c>
      <c r="D397" s="8">
        <v>1.58</v>
      </c>
      <c r="E397" s="4">
        <v>11</v>
      </c>
      <c r="F397" s="8">
        <v>0.94</v>
      </c>
      <c r="G397" s="4">
        <v>39</v>
      </c>
      <c r="H397" s="8">
        <v>1.96</v>
      </c>
      <c r="I397" s="4">
        <v>0</v>
      </c>
    </row>
    <row r="398" spans="1:9" x14ac:dyDescent="0.2">
      <c r="A398" s="2">
        <v>20</v>
      </c>
      <c r="B398" s="1" t="s">
        <v>98</v>
      </c>
      <c r="C398" s="4">
        <v>46</v>
      </c>
      <c r="D398" s="8">
        <v>1.46</v>
      </c>
      <c r="E398" s="4">
        <v>5</v>
      </c>
      <c r="F398" s="8">
        <v>0.43</v>
      </c>
      <c r="G398" s="4">
        <v>41</v>
      </c>
      <c r="H398" s="8">
        <v>2.06</v>
      </c>
      <c r="I398" s="4">
        <v>0</v>
      </c>
    </row>
    <row r="399" spans="1:9" x14ac:dyDescent="0.2">
      <c r="A399" s="1"/>
      <c r="C399" s="4"/>
      <c r="D399" s="8"/>
      <c r="E399" s="4"/>
      <c r="F399" s="8"/>
      <c r="G399" s="4"/>
      <c r="H399" s="8"/>
      <c r="I399" s="4"/>
    </row>
    <row r="400" spans="1:9" x14ac:dyDescent="0.2">
      <c r="A400" s="1" t="s">
        <v>18</v>
      </c>
      <c r="C400" s="4"/>
      <c r="D400" s="8"/>
      <c r="E400" s="4"/>
      <c r="F400" s="8"/>
      <c r="G400" s="4"/>
      <c r="H400" s="8"/>
      <c r="I400" s="4"/>
    </row>
    <row r="401" spans="1:9" x14ac:dyDescent="0.2">
      <c r="A401" s="2">
        <v>1</v>
      </c>
      <c r="B401" s="1" t="s">
        <v>110</v>
      </c>
      <c r="C401" s="4">
        <v>901</v>
      </c>
      <c r="D401" s="8">
        <v>11.2</v>
      </c>
      <c r="E401" s="4">
        <v>758</v>
      </c>
      <c r="F401" s="8">
        <v>19.55</v>
      </c>
      <c r="G401" s="4">
        <v>143</v>
      </c>
      <c r="H401" s="8">
        <v>3.46</v>
      </c>
      <c r="I401" s="4">
        <v>0</v>
      </c>
    </row>
    <row r="402" spans="1:9" x14ac:dyDescent="0.2">
      <c r="A402" s="2">
        <v>2</v>
      </c>
      <c r="B402" s="1" t="s">
        <v>111</v>
      </c>
      <c r="C402" s="4">
        <v>839</v>
      </c>
      <c r="D402" s="8">
        <v>10.43</v>
      </c>
      <c r="E402" s="4">
        <v>729</v>
      </c>
      <c r="F402" s="8">
        <v>18.8</v>
      </c>
      <c r="G402" s="4">
        <v>110</v>
      </c>
      <c r="H402" s="8">
        <v>2.66</v>
      </c>
      <c r="I402" s="4">
        <v>0</v>
      </c>
    </row>
    <row r="403" spans="1:9" x14ac:dyDescent="0.2">
      <c r="A403" s="2">
        <v>3</v>
      </c>
      <c r="B403" s="1" t="s">
        <v>107</v>
      </c>
      <c r="C403" s="4">
        <v>515</v>
      </c>
      <c r="D403" s="8">
        <v>6.4</v>
      </c>
      <c r="E403" s="4">
        <v>190</v>
      </c>
      <c r="F403" s="8">
        <v>4.9000000000000004</v>
      </c>
      <c r="G403" s="4">
        <v>325</v>
      </c>
      <c r="H403" s="8">
        <v>7.86</v>
      </c>
      <c r="I403" s="4">
        <v>0</v>
      </c>
    </row>
    <row r="404" spans="1:9" x14ac:dyDescent="0.2">
      <c r="A404" s="2">
        <v>4</v>
      </c>
      <c r="B404" s="1" t="s">
        <v>94</v>
      </c>
      <c r="C404" s="4">
        <v>467</v>
      </c>
      <c r="D404" s="8">
        <v>5.8</v>
      </c>
      <c r="E404" s="4">
        <v>102</v>
      </c>
      <c r="F404" s="8">
        <v>2.63</v>
      </c>
      <c r="G404" s="4">
        <v>365</v>
      </c>
      <c r="H404" s="8">
        <v>8.83</v>
      </c>
      <c r="I404" s="4">
        <v>0</v>
      </c>
    </row>
    <row r="405" spans="1:9" x14ac:dyDescent="0.2">
      <c r="A405" s="2">
        <v>5</v>
      </c>
      <c r="B405" s="1" t="s">
        <v>105</v>
      </c>
      <c r="C405" s="4">
        <v>451</v>
      </c>
      <c r="D405" s="8">
        <v>5.61</v>
      </c>
      <c r="E405" s="4">
        <v>224</v>
      </c>
      <c r="F405" s="8">
        <v>5.78</v>
      </c>
      <c r="G405" s="4">
        <v>227</v>
      </c>
      <c r="H405" s="8">
        <v>5.49</v>
      </c>
      <c r="I405" s="4">
        <v>0</v>
      </c>
    </row>
    <row r="406" spans="1:9" x14ac:dyDescent="0.2">
      <c r="A406" s="2">
        <v>6</v>
      </c>
      <c r="B406" s="1" t="s">
        <v>95</v>
      </c>
      <c r="C406" s="4">
        <v>351</v>
      </c>
      <c r="D406" s="8">
        <v>4.3600000000000003</v>
      </c>
      <c r="E406" s="4">
        <v>114</v>
      </c>
      <c r="F406" s="8">
        <v>2.94</v>
      </c>
      <c r="G406" s="4">
        <v>236</v>
      </c>
      <c r="H406" s="8">
        <v>5.71</v>
      </c>
      <c r="I406" s="4">
        <v>1</v>
      </c>
    </row>
    <row r="407" spans="1:9" x14ac:dyDescent="0.2">
      <c r="A407" s="2">
        <v>7</v>
      </c>
      <c r="B407" s="1" t="s">
        <v>112</v>
      </c>
      <c r="C407" s="4">
        <v>344</v>
      </c>
      <c r="D407" s="8">
        <v>4.28</v>
      </c>
      <c r="E407" s="4">
        <v>217</v>
      </c>
      <c r="F407" s="8">
        <v>5.6</v>
      </c>
      <c r="G407" s="4">
        <v>124</v>
      </c>
      <c r="H407" s="8">
        <v>3</v>
      </c>
      <c r="I407" s="4">
        <v>0</v>
      </c>
    </row>
    <row r="408" spans="1:9" x14ac:dyDescent="0.2">
      <c r="A408" s="2">
        <v>8</v>
      </c>
      <c r="B408" s="1" t="s">
        <v>104</v>
      </c>
      <c r="C408" s="4">
        <v>293</v>
      </c>
      <c r="D408" s="8">
        <v>3.64</v>
      </c>
      <c r="E408" s="4">
        <v>144</v>
      </c>
      <c r="F408" s="8">
        <v>3.71</v>
      </c>
      <c r="G408" s="4">
        <v>149</v>
      </c>
      <c r="H408" s="8">
        <v>3.61</v>
      </c>
      <c r="I408" s="4">
        <v>0</v>
      </c>
    </row>
    <row r="409" spans="1:9" x14ac:dyDescent="0.2">
      <c r="A409" s="2">
        <v>9</v>
      </c>
      <c r="B409" s="1" t="s">
        <v>103</v>
      </c>
      <c r="C409" s="4">
        <v>282</v>
      </c>
      <c r="D409" s="8">
        <v>3.5</v>
      </c>
      <c r="E409" s="4">
        <v>172</v>
      </c>
      <c r="F409" s="8">
        <v>4.4400000000000004</v>
      </c>
      <c r="G409" s="4">
        <v>110</v>
      </c>
      <c r="H409" s="8">
        <v>2.66</v>
      </c>
      <c r="I409" s="4">
        <v>0</v>
      </c>
    </row>
    <row r="410" spans="1:9" x14ac:dyDescent="0.2">
      <c r="A410" s="2">
        <v>10</v>
      </c>
      <c r="B410" s="1" t="s">
        <v>96</v>
      </c>
      <c r="C410" s="4">
        <v>277</v>
      </c>
      <c r="D410" s="8">
        <v>3.44</v>
      </c>
      <c r="E410" s="4">
        <v>52</v>
      </c>
      <c r="F410" s="8">
        <v>1.34</v>
      </c>
      <c r="G410" s="4">
        <v>225</v>
      </c>
      <c r="H410" s="8">
        <v>5.44</v>
      </c>
      <c r="I410" s="4">
        <v>0</v>
      </c>
    </row>
    <row r="411" spans="1:9" x14ac:dyDescent="0.2">
      <c r="A411" s="2">
        <v>11</v>
      </c>
      <c r="B411" s="1" t="s">
        <v>113</v>
      </c>
      <c r="C411" s="4">
        <v>266</v>
      </c>
      <c r="D411" s="8">
        <v>3.31</v>
      </c>
      <c r="E411" s="4">
        <v>225</v>
      </c>
      <c r="F411" s="8">
        <v>5.8</v>
      </c>
      <c r="G411" s="4">
        <v>41</v>
      </c>
      <c r="H411" s="8">
        <v>0.99</v>
      </c>
      <c r="I411" s="4">
        <v>0</v>
      </c>
    </row>
    <row r="412" spans="1:9" x14ac:dyDescent="0.2">
      <c r="A412" s="2">
        <v>12</v>
      </c>
      <c r="B412" s="1" t="s">
        <v>108</v>
      </c>
      <c r="C412" s="4">
        <v>258</v>
      </c>
      <c r="D412" s="8">
        <v>3.21</v>
      </c>
      <c r="E412" s="4">
        <v>156</v>
      </c>
      <c r="F412" s="8">
        <v>4.0199999999999996</v>
      </c>
      <c r="G412" s="4">
        <v>102</v>
      </c>
      <c r="H412" s="8">
        <v>2.4700000000000002</v>
      </c>
      <c r="I412" s="4">
        <v>0</v>
      </c>
    </row>
    <row r="413" spans="1:9" x14ac:dyDescent="0.2">
      <c r="A413" s="2">
        <v>13</v>
      </c>
      <c r="B413" s="1" t="s">
        <v>102</v>
      </c>
      <c r="C413" s="4">
        <v>210</v>
      </c>
      <c r="D413" s="8">
        <v>2.61</v>
      </c>
      <c r="E413" s="4">
        <v>97</v>
      </c>
      <c r="F413" s="8">
        <v>2.5</v>
      </c>
      <c r="G413" s="4">
        <v>113</v>
      </c>
      <c r="H413" s="8">
        <v>2.73</v>
      </c>
      <c r="I413" s="4">
        <v>0</v>
      </c>
    </row>
    <row r="414" spans="1:9" x14ac:dyDescent="0.2">
      <c r="A414" s="2">
        <v>14</v>
      </c>
      <c r="B414" s="1" t="s">
        <v>109</v>
      </c>
      <c r="C414" s="4">
        <v>191</v>
      </c>
      <c r="D414" s="8">
        <v>2.37</v>
      </c>
      <c r="E414" s="4">
        <v>79</v>
      </c>
      <c r="F414" s="8">
        <v>2.04</v>
      </c>
      <c r="G414" s="4">
        <v>111</v>
      </c>
      <c r="H414" s="8">
        <v>2.69</v>
      </c>
      <c r="I414" s="4">
        <v>0</v>
      </c>
    </row>
    <row r="415" spans="1:9" x14ac:dyDescent="0.2">
      <c r="A415" s="2">
        <v>15</v>
      </c>
      <c r="B415" s="1" t="s">
        <v>106</v>
      </c>
      <c r="C415" s="4">
        <v>143</v>
      </c>
      <c r="D415" s="8">
        <v>1.78</v>
      </c>
      <c r="E415" s="4">
        <v>45</v>
      </c>
      <c r="F415" s="8">
        <v>1.1599999999999999</v>
      </c>
      <c r="G415" s="4">
        <v>98</v>
      </c>
      <c r="H415" s="8">
        <v>2.37</v>
      </c>
      <c r="I415" s="4">
        <v>0</v>
      </c>
    </row>
    <row r="416" spans="1:9" x14ac:dyDescent="0.2">
      <c r="A416" s="2">
        <v>16</v>
      </c>
      <c r="B416" s="1" t="s">
        <v>100</v>
      </c>
      <c r="C416" s="4">
        <v>134</v>
      </c>
      <c r="D416" s="8">
        <v>1.67</v>
      </c>
      <c r="E416" s="4">
        <v>18</v>
      </c>
      <c r="F416" s="8">
        <v>0.46</v>
      </c>
      <c r="G416" s="4">
        <v>116</v>
      </c>
      <c r="H416" s="8">
        <v>2.81</v>
      </c>
      <c r="I416" s="4">
        <v>0</v>
      </c>
    </row>
    <row r="417" spans="1:9" x14ac:dyDescent="0.2">
      <c r="A417" s="2">
        <v>17</v>
      </c>
      <c r="B417" s="1" t="s">
        <v>97</v>
      </c>
      <c r="C417" s="4">
        <v>119</v>
      </c>
      <c r="D417" s="8">
        <v>1.48</v>
      </c>
      <c r="E417" s="4">
        <v>36</v>
      </c>
      <c r="F417" s="8">
        <v>0.93</v>
      </c>
      <c r="G417" s="4">
        <v>83</v>
      </c>
      <c r="H417" s="8">
        <v>2.0099999999999998</v>
      </c>
      <c r="I417" s="4">
        <v>0</v>
      </c>
    </row>
    <row r="418" spans="1:9" x14ac:dyDescent="0.2">
      <c r="A418" s="2">
        <v>17</v>
      </c>
      <c r="B418" s="1" t="s">
        <v>101</v>
      </c>
      <c r="C418" s="4">
        <v>119</v>
      </c>
      <c r="D418" s="8">
        <v>1.48</v>
      </c>
      <c r="E418" s="4">
        <v>25</v>
      </c>
      <c r="F418" s="8">
        <v>0.64</v>
      </c>
      <c r="G418" s="4">
        <v>94</v>
      </c>
      <c r="H418" s="8">
        <v>2.27</v>
      </c>
      <c r="I418" s="4">
        <v>0</v>
      </c>
    </row>
    <row r="419" spans="1:9" x14ac:dyDescent="0.2">
      <c r="A419" s="2">
        <v>19</v>
      </c>
      <c r="B419" s="1" t="s">
        <v>99</v>
      </c>
      <c r="C419" s="4">
        <v>115</v>
      </c>
      <c r="D419" s="8">
        <v>1.43</v>
      </c>
      <c r="E419" s="4">
        <v>19</v>
      </c>
      <c r="F419" s="8">
        <v>0.49</v>
      </c>
      <c r="G419" s="4">
        <v>96</v>
      </c>
      <c r="H419" s="8">
        <v>2.3199999999999998</v>
      </c>
      <c r="I419" s="4">
        <v>0</v>
      </c>
    </row>
    <row r="420" spans="1:9" x14ac:dyDescent="0.2">
      <c r="A420" s="2">
        <v>20</v>
      </c>
      <c r="B420" s="1" t="s">
        <v>122</v>
      </c>
      <c r="C420" s="4">
        <v>103</v>
      </c>
      <c r="D420" s="8">
        <v>1.28</v>
      </c>
      <c r="E420" s="4">
        <v>65</v>
      </c>
      <c r="F420" s="8">
        <v>1.68</v>
      </c>
      <c r="G420" s="4">
        <v>38</v>
      </c>
      <c r="H420" s="8">
        <v>0.92</v>
      </c>
      <c r="I420" s="4">
        <v>0</v>
      </c>
    </row>
    <row r="421" spans="1:9" x14ac:dyDescent="0.2">
      <c r="A421" s="1"/>
      <c r="C421" s="4"/>
      <c r="D421" s="8"/>
      <c r="E421" s="4"/>
      <c r="F421" s="8"/>
      <c r="G421" s="4"/>
      <c r="H421" s="8"/>
      <c r="I421" s="4"/>
    </row>
    <row r="422" spans="1:9" x14ac:dyDescent="0.2">
      <c r="A422" s="1" t="s">
        <v>19</v>
      </c>
      <c r="C422" s="4"/>
      <c r="D422" s="8"/>
      <c r="E422" s="4"/>
      <c r="F422" s="8"/>
      <c r="G422" s="4"/>
      <c r="H422" s="8"/>
      <c r="I422" s="4"/>
    </row>
    <row r="423" spans="1:9" x14ac:dyDescent="0.2">
      <c r="A423" s="2">
        <v>1</v>
      </c>
      <c r="B423" s="1" t="s">
        <v>111</v>
      </c>
      <c r="C423" s="4">
        <v>708</v>
      </c>
      <c r="D423" s="8">
        <v>9.75</v>
      </c>
      <c r="E423" s="4">
        <v>595</v>
      </c>
      <c r="F423" s="8">
        <v>16.61</v>
      </c>
      <c r="G423" s="4">
        <v>113</v>
      </c>
      <c r="H423" s="8">
        <v>3.1</v>
      </c>
      <c r="I423" s="4">
        <v>0</v>
      </c>
    </row>
    <row r="424" spans="1:9" x14ac:dyDescent="0.2">
      <c r="A424" s="2">
        <v>2</v>
      </c>
      <c r="B424" s="1" t="s">
        <v>110</v>
      </c>
      <c r="C424" s="4">
        <v>703</v>
      </c>
      <c r="D424" s="8">
        <v>9.68</v>
      </c>
      <c r="E424" s="4">
        <v>585</v>
      </c>
      <c r="F424" s="8">
        <v>16.329999999999998</v>
      </c>
      <c r="G424" s="4">
        <v>116</v>
      </c>
      <c r="H424" s="8">
        <v>3.19</v>
      </c>
      <c r="I424" s="4">
        <v>2</v>
      </c>
    </row>
    <row r="425" spans="1:9" x14ac:dyDescent="0.2">
      <c r="A425" s="2">
        <v>3</v>
      </c>
      <c r="B425" s="1" t="s">
        <v>107</v>
      </c>
      <c r="C425" s="4">
        <v>483</v>
      </c>
      <c r="D425" s="8">
        <v>6.65</v>
      </c>
      <c r="E425" s="4">
        <v>151</v>
      </c>
      <c r="F425" s="8">
        <v>4.22</v>
      </c>
      <c r="G425" s="4">
        <v>331</v>
      </c>
      <c r="H425" s="8">
        <v>9.09</v>
      </c>
      <c r="I425" s="4">
        <v>1</v>
      </c>
    </row>
    <row r="426" spans="1:9" x14ac:dyDescent="0.2">
      <c r="A426" s="2">
        <v>4</v>
      </c>
      <c r="B426" s="1" t="s">
        <v>94</v>
      </c>
      <c r="C426" s="4">
        <v>436</v>
      </c>
      <c r="D426" s="8">
        <v>6</v>
      </c>
      <c r="E426" s="4">
        <v>93</v>
      </c>
      <c r="F426" s="8">
        <v>2.6</v>
      </c>
      <c r="G426" s="4">
        <v>343</v>
      </c>
      <c r="H426" s="8">
        <v>9.42</v>
      </c>
      <c r="I426" s="4">
        <v>0</v>
      </c>
    </row>
    <row r="427" spans="1:9" x14ac:dyDescent="0.2">
      <c r="A427" s="2">
        <v>5</v>
      </c>
      <c r="B427" s="1" t="s">
        <v>105</v>
      </c>
      <c r="C427" s="4">
        <v>417</v>
      </c>
      <c r="D427" s="8">
        <v>5.74</v>
      </c>
      <c r="E427" s="4">
        <v>222</v>
      </c>
      <c r="F427" s="8">
        <v>6.2</v>
      </c>
      <c r="G427" s="4">
        <v>195</v>
      </c>
      <c r="H427" s="8">
        <v>5.36</v>
      </c>
      <c r="I427" s="4">
        <v>0</v>
      </c>
    </row>
    <row r="428" spans="1:9" x14ac:dyDescent="0.2">
      <c r="A428" s="2">
        <v>6</v>
      </c>
      <c r="B428" s="1" t="s">
        <v>95</v>
      </c>
      <c r="C428" s="4">
        <v>342</v>
      </c>
      <c r="D428" s="8">
        <v>4.71</v>
      </c>
      <c r="E428" s="4">
        <v>122</v>
      </c>
      <c r="F428" s="8">
        <v>3.41</v>
      </c>
      <c r="G428" s="4">
        <v>220</v>
      </c>
      <c r="H428" s="8">
        <v>6.04</v>
      </c>
      <c r="I428" s="4">
        <v>0</v>
      </c>
    </row>
    <row r="429" spans="1:9" x14ac:dyDescent="0.2">
      <c r="A429" s="2">
        <v>7</v>
      </c>
      <c r="B429" s="1" t="s">
        <v>112</v>
      </c>
      <c r="C429" s="4">
        <v>323</v>
      </c>
      <c r="D429" s="8">
        <v>4.45</v>
      </c>
      <c r="E429" s="4">
        <v>242</v>
      </c>
      <c r="F429" s="8">
        <v>6.76</v>
      </c>
      <c r="G429" s="4">
        <v>77</v>
      </c>
      <c r="H429" s="8">
        <v>2.12</v>
      </c>
      <c r="I429" s="4">
        <v>1</v>
      </c>
    </row>
    <row r="430" spans="1:9" x14ac:dyDescent="0.2">
      <c r="A430" s="2">
        <v>8</v>
      </c>
      <c r="B430" s="1" t="s">
        <v>104</v>
      </c>
      <c r="C430" s="4">
        <v>289</v>
      </c>
      <c r="D430" s="8">
        <v>3.98</v>
      </c>
      <c r="E430" s="4">
        <v>171</v>
      </c>
      <c r="F430" s="8">
        <v>4.7699999999999996</v>
      </c>
      <c r="G430" s="4">
        <v>118</v>
      </c>
      <c r="H430" s="8">
        <v>3.24</v>
      </c>
      <c r="I430" s="4">
        <v>0</v>
      </c>
    </row>
    <row r="431" spans="1:9" x14ac:dyDescent="0.2">
      <c r="A431" s="2">
        <v>9</v>
      </c>
      <c r="B431" s="1" t="s">
        <v>96</v>
      </c>
      <c r="C431" s="4">
        <v>267</v>
      </c>
      <c r="D431" s="8">
        <v>3.68</v>
      </c>
      <c r="E431" s="4">
        <v>58</v>
      </c>
      <c r="F431" s="8">
        <v>1.62</v>
      </c>
      <c r="G431" s="4">
        <v>209</v>
      </c>
      <c r="H431" s="8">
        <v>5.74</v>
      </c>
      <c r="I431" s="4">
        <v>0</v>
      </c>
    </row>
    <row r="432" spans="1:9" x14ac:dyDescent="0.2">
      <c r="A432" s="2">
        <v>9</v>
      </c>
      <c r="B432" s="1" t="s">
        <v>108</v>
      </c>
      <c r="C432" s="4">
        <v>267</v>
      </c>
      <c r="D432" s="8">
        <v>3.68</v>
      </c>
      <c r="E432" s="4">
        <v>174</v>
      </c>
      <c r="F432" s="8">
        <v>4.8600000000000003</v>
      </c>
      <c r="G432" s="4">
        <v>93</v>
      </c>
      <c r="H432" s="8">
        <v>2.5499999999999998</v>
      </c>
      <c r="I432" s="4">
        <v>0</v>
      </c>
    </row>
    <row r="433" spans="1:9" x14ac:dyDescent="0.2">
      <c r="A433" s="2">
        <v>11</v>
      </c>
      <c r="B433" s="1" t="s">
        <v>103</v>
      </c>
      <c r="C433" s="4">
        <v>242</v>
      </c>
      <c r="D433" s="8">
        <v>3.33</v>
      </c>
      <c r="E433" s="4">
        <v>155</v>
      </c>
      <c r="F433" s="8">
        <v>4.33</v>
      </c>
      <c r="G433" s="4">
        <v>86</v>
      </c>
      <c r="H433" s="8">
        <v>2.36</v>
      </c>
      <c r="I433" s="4">
        <v>1</v>
      </c>
    </row>
    <row r="434" spans="1:9" x14ac:dyDescent="0.2">
      <c r="A434" s="2">
        <v>12</v>
      </c>
      <c r="B434" s="1" t="s">
        <v>113</v>
      </c>
      <c r="C434" s="4">
        <v>225</v>
      </c>
      <c r="D434" s="8">
        <v>3.1</v>
      </c>
      <c r="E434" s="4">
        <v>191</v>
      </c>
      <c r="F434" s="8">
        <v>5.33</v>
      </c>
      <c r="G434" s="4">
        <v>34</v>
      </c>
      <c r="H434" s="8">
        <v>0.93</v>
      </c>
      <c r="I434" s="4">
        <v>0</v>
      </c>
    </row>
    <row r="435" spans="1:9" x14ac:dyDescent="0.2">
      <c r="A435" s="2">
        <v>13</v>
      </c>
      <c r="B435" s="1" t="s">
        <v>102</v>
      </c>
      <c r="C435" s="4">
        <v>205</v>
      </c>
      <c r="D435" s="8">
        <v>2.82</v>
      </c>
      <c r="E435" s="4">
        <v>105</v>
      </c>
      <c r="F435" s="8">
        <v>2.93</v>
      </c>
      <c r="G435" s="4">
        <v>100</v>
      </c>
      <c r="H435" s="8">
        <v>2.75</v>
      </c>
      <c r="I435" s="4">
        <v>0</v>
      </c>
    </row>
    <row r="436" spans="1:9" x14ac:dyDescent="0.2">
      <c r="A436" s="2">
        <v>14</v>
      </c>
      <c r="B436" s="1" t="s">
        <v>98</v>
      </c>
      <c r="C436" s="4">
        <v>157</v>
      </c>
      <c r="D436" s="8">
        <v>2.16</v>
      </c>
      <c r="E436" s="4">
        <v>36</v>
      </c>
      <c r="F436" s="8">
        <v>1.01</v>
      </c>
      <c r="G436" s="4">
        <v>121</v>
      </c>
      <c r="H436" s="8">
        <v>3.32</v>
      </c>
      <c r="I436" s="4">
        <v>0</v>
      </c>
    </row>
    <row r="437" spans="1:9" x14ac:dyDescent="0.2">
      <c r="A437" s="2">
        <v>15</v>
      </c>
      <c r="B437" s="1" t="s">
        <v>109</v>
      </c>
      <c r="C437" s="4">
        <v>142</v>
      </c>
      <c r="D437" s="8">
        <v>1.96</v>
      </c>
      <c r="E437" s="4">
        <v>59</v>
      </c>
      <c r="F437" s="8">
        <v>1.65</v>
      </c>
      <c r="G437" s="4">
        <v>81</v>
      </c>
      <c r="H437" s="8">
        <v>2.23</v>
      </c>
      <c r="I437" s="4">
        <v>0</v>
      </c>
    </row>
    <row r="438" spans="1:9" x14ac:dyDescent="0.2">
      <c r="A438" s="2">
        <v>16</v>
      </c>
      <c r="B438" s="1" t="s">
        <v>106</v>
      </c>
      <c r="C438" s="4">
        <v>114</v>
      </c>
      <c r="D438" s="8">
        <v>1.57</v>
      </c>
      <c r="E438" s="4">
        <v>29</v>
      </c>
      <c r="F438" s="8">
        <v>0.81</v>
      </c>
      <c r="G438" s="4">
        <v>85</v>
      </c>
      <c r="H438" s="8">
        <v>2.34</v>
      </c>
      <c r="I438" s="4">
        <v>0</v>
      </c>
    </row>
    <row r="439" spans="1:9" x14ac:dyDescent="0.2">
      <c r="A439" s="2">
        <v>17</v>
      </c>
      <c r="B439" s="1" t="s">
        <v>101</v>
      </c>
      <c r="C439" s="4">
        <v>107</v>
      </c>
      <c r="D439" s="8">
        <v>1.47</v>
      </c>
      <c r="E439" s="4">
        <v>24</v>
      </c>
      <c r="F439" s="8">
        <v>0.67</v>
      </c>
      <c r="G439" s="4">
        <v>82</v>
      </c>
      <c r="H439" s="8">
        <v>2.25</v>
      </c>
      <c r="I439" s="4">
        <v>1</v>
      </c>
    </row>
    <row r="440" spans="1:9" x14ac:dyDescent="0.2">
      <c r="A440" s="2">
        <v>18</v>
      </c>
      <c r="B440" s="1" t="s">
        <v>100</v>
      </c>
      <c r="C440" s="4">
        <v>105</v>
      </c>
      <c r="D440" s="8">
        <v>1.45</v>
      </c>
      <c r="E440" s="4">
        <v>15</v>
      </c>
      <c r="F440" s="8">
        <v>0.42</v>
      </c>
      <c r="G440" s="4">
        <v>90</v>
      </c>
      <c r="H440" s="8">
        <v>2.4700000000000002</v>
      </c>
      <c r="I440" s="4">
        <v>0</v>
      </c>
    </row>
    <row r="441" spans="1:9" x14ac:dyDescent="0.2">
      <c r="A441" s="2">
        <v>19</v>
      </c>
      <c r="B441" s="1" t="s">
        <v>125</v>
      </c>
      <c r="C441" s="4">
        <v>102</v>
      </c>
      <c r="D441" s="8">
        <v>1.4</v>
      </c>
      <c r="E441" s="4">
        <v>46</v>
      </c>
      <c r="F441" s="8">
        <v>1.28</v>
      </c>
      <c r="G441" s="4">
        <v>56</v>
      </c>
      <c r="H441" s="8">
        <v>1.54</v>
      </c>
      <c r="I441" s="4">
        <v>0</v>
      </c>
    </row>
    <row r="442" spans="1:9" x14ac:dyDescent="0.2">
      <c r="A442" s="2">
        <v>19</v>
      </c>
      <c r="B442" s="1" t="s">
        <v>126</v>
      </c>
      <c r="C442" s="4">
        <v>102</v>
      </c>
      <c r="D442" s="8">
        <v>1.4</v>
      </c>
      <c r="E442" s="4">
        <v>57</v>
      </c>
      <c r="F442" s="8">
        <v>1.59</v>
      </c>
      <c r="G442" s="4">
        <v>45</v>
      </c>
      <c r="H442" s="8">
        <v>1.24</v>
      </c>
      <c r="I442" s="4">
        <v>0</v>
      </c>
    </row>
    <row r="443" spans="1:9" x14ac:dyDescent="0.2">
      <c r="A443" s="1"/>
      <c r="C443" s="4"/>
      <c r="D443" s="8"/>
      <c r="E443" s="4"/>
      <c r="F443" s="8"/>
      <c r="G443" s="4"/>
      <c r="H443" s="8"/>
      <c r="I443" s="4"/>
    </row>
    <row r="444" spans="1:9" x14ac:dyDescent="0.2">
      <c r="A444" s="1" t="s">
        <v>20</v>
      </c>
      <c r="C444" s="4"/>
      <c r="D444" s="8"/>
      <c r="E444" s="4"/>
      <c r="F444" s="8"/>
      <c r="G444" s="4"/>
      <c r="H444" s="8"/>
      <c r="I444" s="4"/>
    </row>
    <row r="445" spans="1:9" x14ac:dyDescent="0.2">
      <c r="A445" s="2">
        <v>1</v>
      </c>
      <c r="B445" s="1" t="s">
        <v>110</v>
      </c>
      <c r="C445" s="4">
        <v>882</v>
      </c>
      <c r="D445" s="8">
        <v>8.8699999999999992</v>
      </c>
      <c r="E445" s="4">
        <v>796</v>
      </c>
      <c r="F445" s="8">
        <v>14.9</v>
      </c>
      <c r="G445" s="4">
        <v>86</v>
      </c>
      <c r="H445" s="8">
        <v>1.88</v>
      </c>
      <c r="I445" s="4">
        <v>0</v>
      </c>
    </row>
    <row r="446" spans="1:9" x14ac:dyDescent="0.2">
      <c r="A446" s="2">
        <v>2</v>
      </c>
      <c r="B446" s="1" t="s">
        <v>111</v>
      </c>
      <c r="C446" s="4">
        <v>831</v>
      </c>
      <c r="D446" s="8">
        <v>8.36</v>
      </c>
      <c r="E446" s="4">
        <v>677</v>
      </c>
      <c r="F446" s="8">
        <v>12.67</v>
      </c>
      <c r="G446" s="4">
        <v>154</v>
      </c>
      <c r="H446" s="8">
        <v>3.37</v>
      </c>
      <c r="I446" s="4">
        <v>0</v>
      </c>
    </row>
    <row r="447" spans="1:9" x14ac:dyDescent="0.2">
      <c r="A447" s="2">
        <v>3</v>
      </c>
      <c r="B447" s="1" t="s">
        <v>125</v>
      </c>
      <c r="C447" s="4">
        <v>785</v>
      </c>
      <c r="D447" s="8">
        <v>7.9</v>
      </c>
      <c r="E447" s="4">
        <v>489</v>
      </c>
      <c r="F447" s="8">
        <v>9.15</v>
      </c>
      <c r="G447" s="4">
        <v>296</v>
      </c>
      <c r="H447" s="8">
        <v>6.48</v>
      </c>
      <c r="I447" s="4">
        <v>0</v>
      </c>
    </row>
    <row r="448" spans="1:9" x14ac:dyDescent="0.2">
      <c r="A448" s="2">
        <v>4</v>
      </c>
      <c r="B448" s="1" t="s">
        <v>107</v>
      </c>
      <c r="C448" s="4">
        <v>703</v>
      </c>
      <c r="D448" s="8">
        <v>7.07</v>
      </c>
      <c r="E448" s="4">
        <v>273</v>
      </c>
      <c r="F448" s="8">
        <v>5.1100000000000003</v>
      </c>
      <c r="G448" s="4">
        <v>430</v>
      </c>
      <c r="H448" s="8">
        <v>9.42</v>
      </c>
      <c r="I448" s="4">
        <v>0</v>
      </c>
    </row>
    <row r="449" spans="1:9" x14ac:dyDescent="0.2">
      <c r="A449" s="2">
        <v>5</v>
      </c>
      <c r="B449" s="1" t="s">
        <v>94</v>
      </c>
      <c r="C449" s="4">
        <v>519</v>
      </c>
      <c r="D449" s="8">
        <v>5.22</v>
      </c>
      <c r="E449" s="4">
        <v>141</v>
      </c>
      <c r="F449" s="8">
        <v>2.64</v>
      </c>
      <c r="G449" s="4">
        <v>378</v>
      </c>
      <c r="H449" s="8">
        <v>8.2799999999999994</v>
      </c>
      <c r="I449" s="4">
        <v>0</v>
      </c>
    </row>
    <row r="450" spans="1:9" x14ac:dyDescent="0.2">
      <c r="A450" s="2">
        <v>6</v>
      </c>
      <c r="B450" s="1" t="s">
        <v>95</v>
      </c>
      <c r="C450" s="4">
        <v>506</v>
      </c>
      <c r="D450" s="8">
        <v>5.09</v>
      </c>
      <c r="E450" s="4">
        <v>208</v>
      </c>
      <c r="F450" s="8">
        <v>3.89</v>
      </c>
      <c r="G450" s="4">
        <v>298</v>
      </c>
      <c r="H450" s="8">
        <v>6.53</v>
      </c>
      <c r="I450" s="4">
        <v>0</v>
      </c>
    </row>
    <row r="451" spans="1:9" x14ac:dyDescent="0.2">
      <c r="A451" s="2">
        <v>7</v>
      </c>
      <c r="B451" s="1" t="s">
        <v>112</v>
      </c>
      <c r="C451" s="4">
        <v>500</v>
      </c>
      <c r="D451" s="8">
        <v>5.03</v>
      </c>
      <c r="E451" s="4">
        <v>393</v>
      </c>
      <c r="F451" s="8">
        <v>7.35</v>
      </c>
      <c r="G451" s="4">
        <v>92</v>
      </c>
      <c r="H451" s="8">
        <v>2.0099999999999998</v>
      </c>
      <c r="I451" s="4">
        <v>2</v>
      </c>
    </row>
    <row r="452" spans="1:9" x14ac:dyDescent="0.2">
      <c r="A452" s="2">
        <v>8</v>
      </c>
      <c r="B452" s="1" t="s">
        <v>105</v>
      </c>
      <c r="C452" s="4">
        <v>480</v>
      </c>
      <c r="D452" s="8">
        <v>4.83</v>
      </c>
      <c r="E452" s="4">
        <v>282</v>
      </c>
      <c r="F452" s="8">
        <v>5.28</v>
      </c>
      <c r="G452" s="4">
        <v>198</v>
      </c>
      <c r="H452" s="8">
        <v>4.34</v>
      </c>
      <c r="I452" s="4">
        <v>0</v>
      </c>
    </row>
    <row r="453" spans="1:9" x14ac:dyDescent="0.2">
      <c r="A453" s="2">
        <v>9</v>
      </c>
      <c r="B453" s="1" t="s">
        <v>96</v>
      </c>
      <c r="C453" s="4">
        <v>382</v>
      </c>
      <c r="D453" s="8">
        <v>3.84</v>
      </c>
      <c r="E453" s="4">
        <v>119</v>
      </c>
      <c r="F453" s="8">
        <v>2.23</v>
      </c>
      <c r="G453" s="4">
        <v>263</v>
      </c>
      <c r="H453" s="8">
        <v>5.76</v>
      </c>
      <c r="I453" s="4">
        <v>0</v>
      </c>
    </row>
    <row r="454" spans="1:9" x14ac:dyDescent="0.2">
      <c r="A454" s="2">
        <v>10</v>
      </c>
      <c r="B454" s="1" t="s">
        <v>113</v>
      </c>
      <c r="C454" s="4">
        <v>381</v>
      </c>
      <c r="D454" s="8">
        <v>3.83</v>
      </c>
      <c r="E454" s="4">
        <v>347</v>
      </c>
      <c r="F454" s="8">
        <v>6.49</v>
      </c>
      <c r="G454" s="4">
        <v>34</v>
      </c>
      <c r="H454" s="8">
        <v>0.74</v>
      </c>
      <c r="I454" s="4">
        <v>0</v>
      </c>
    </row>
    <row r="455" spans="1:9" x14ac:dyDescent="0.2">
      <c r="A455" s="2">
        <v>11</v>
      </c>
      <c r="B455" s="1" t="s">
        <v>104</v>
      </c>
      <c r="C455" s="4">
        <v>341</v>
      </c>
      <c r="D455" s="8">
        <v>3.43</v>
      </c>
      <c r="E455" s="4">
        <v>184</v>
      </c>
      <c r="F455" s="8">
        <v>3.44</v>
      </c>
      <c r="G455" s="4">
        <v>157</v>
      </c>
      <c r="H455" s="8">
        <v>3.44</v>
      </c>
      <c r="I455" s="4">
        <v>0</v>
      </c>
    </row>
    <row r="456" spans="1:9" x14ac:dyDescent="0.2">
      <c r="A456" s="2">
        <v>12</v>
      </c>
      <c r="B456" s="1" t="s">
        <v>108</v>
      </c>
      <c r="C456" s="4">
        <v>338</v>
      </c>
      <c r="D456" s="8">
        <v>3.4</v>
      </c>
      <c r="E456" s="4">
        <v>222</v>
      </c>
      <c r="F456" s="8">
        <v>4.1500000000000004</v>
      </c>
      <c r="G456" s="4">
        <v>115</v>
      </c>
      <c r="H456" s="8">
        <v>2.52</v>
      </c>
      <c r="I456" s="4">
        <v>1</v>
      </c>
    </row>
    <row r="457" spans="1:9" x14ac:dyDescent="0.2">
      <c r="A457" s="2">
        <v>13</v>
      </c>
      <c r="B457" s="1" t="s">
        <v>103</v>
      </c>
      <c r="C457" s="4">
        <v>239</v>
      </c>
      <c r="D457" s="8">
        <v>2.4</v>
      </c>
      <c r="E457" s="4">
        <v>161</v>
      </c>
      <c r="F457" s="8">
        <v>3.01</v>
      </c>
      <c r="G457" s="4">
        <v>77</v>
      </c>
      <c r="H457" s="8">
        <v>1.69</v>
      </c>
      <c r="I457" s="4">
        <v>1</v>
      </c>
    </row>
    <row r="458" spans="1:9" x14ac:dyDescent="0.2">
      <c r="A458" s="2">
        <v>14</v>
      </c>
      <c r="B458" s="1" t="s">
        <v>116</v>
      </c>
      <c r="C458" s="4">
        <v>171</v>
      </c>
      <c r="D458" s="8">
        <v>1.72</v>
      </c>
      <c r="E458" s="4">
        <v>2</v>
      </c>
      <c r="F458" s="8">
        <v>0.04</v>
      </c>
      <c r="G458" s="4">
        <v>165</v>
      </c>
      <c r="H458" s="8">
        <v>3.61</v>
      </c>
      <c r="I458" s="4">
        <v>0</v>
      </c>
    </row>
    <row r="459" spans="1:9" x14ac:dyDescent="0.2">
      <c r="A459" s="2">
        <v>15</v>
      </c>
      <c r="B459" s="1" t="s">
        <v>109</v>
      </c>
      <c r="C459" s="4">
        <v>170</v>
      </c>
      <c r="D459" s="8">
        <v>1.71</v>
      </c>
      <c r="E459" s="4">
        <v>94</v>
      </c>
      <c r="F459" s="8">
        <v>1.76</v>
      </c>
      <c r="G459" s="4">
        <v>75</v>
      </c>
      <c r="H459" s="8">
        <v>1.64</v>
      </c>
      <c r="I459" s="4">
        <v>0</v>
      </c>
    </row>
    <row r="460" spans="1:9" x14ac:dyDescent="0.2">
      <c r="A460" s="2">
        <v>16</v>
      </c>
      <c r="B460" s="1" t="s">
        <v>102</v>
      </c>
      <c r="C460" s="4">
        <v>167</v>
      </c>
      <c r="D460" s="8">
        <v>1.68</v>
      </c>
      <c r="E460" s="4">
        <v>88</v>
      </c>
      <c r="F460" s="8">
        <v>1.65</v>
      </c>
      <c r="G460" s="4">
        <v>79</v>
      </c>
      <c r="H460" s="8">
        <v>1.73</v>
      </c>
      <c r="I460" s="4">
        <v>0</v>
      </c>
    </row>
    <row r="461" spans="1:9" x14ac:dyDescent="0.2">
      <c r="A461" s="2">
        <v>17</v>
      </c>
      <c r="B461" s="1" t="s">
        <v>106</v>
      </c>
      <c r="C461" s="4">
        <v>146</v>
      </c>
      <c r="D461" s="8">
        <v>1.47</v>
      </c>
      <c r="E461" s="4">
        <v>32</v>
      </c>
      <c r="F461" s="8">
        <v>0.6</v>
      </c>
      <c r="G461" s="4">
        <v>114</v>
      </c>
      <c r="H461" s="8">
        <v>2.5</v>
      </c>
      <c r="I461" s="4">
        <v>0</v>
      </c>
    </row>
    <row r="462" spans="1:9" x14ac:dyDescent="0.2">
      <c r="A462" s="2">
        <v>18</v>
      </c>
      <c r="B462" s="1" t="s">
        <v>98</v>
      </c>
      <c r="C462" s="4">
        <v>132</v>
      </c>
      <c r="D462" s="8">
        <v>1.33</v>
      </c>
      <c r="E462" s="4">
        <v>31</v>
      </c>
      <c r="F462" s="8">
        <v>0.57999999999999996</v>
      </c>
      <c r="G462" s="4">
        <v>101</v>
      </c>
      <c r="H462" s="8">
        <v>2.21</v>
      </c>
      <c r="I462" s="4">
        <v>0</v>
      </c>
    </row>
    <row r="463" spans="1:9" x14ac:dyDescent="0.2">
      <c r="A463" s="2">
        <v>18</v>
      </c>
      <c r="B463" s="1" t="s">
        <v>100</v>
      </c>
      <c r="C463" s="4">
        <v>132</v>
      </c>
      <c r="D463" s="8">
        <v>1.33</v>
      </c>
      <c r="E463" s="4">
        <v>26</v>
      </c>
      <c r="F463" s="8">
        <v>0.49</v>
      </c>
      <c r="G463" s="4">
        <v>106</v>
      </c>
      <c r="H463" s="8">
        <v>2.3199999999999998</v>
      </c>
      <c r="I463" s="4">
        <v>0</v>
      </c>
    </row>
    <row r="464" spans="1:9" x14ac:dyDescent="0.2">
      <c r="A464" s="2">
        <v>20</v>
      </c>
      <c r="B464" s="1" t="s">
        <v>122</v>
      </c>
      <c r="C464" s="4">
        <v>131</v>
      </c>
      <c r="D464" s="8">
        <v>1.32</v>
      </c>
      <c r="E464" s="4">
        <v>94</v>
      </c>
      <c r="F464" s="8">
        <v>1.76</v>
      </c>
      <c r="G464" s="4">
        <v>37</v>
      </c>
      <c r="H464" s="8">
        <v>0.81</v>
      </c>
      <c r="I464" s="4">
        <v>0</v>
      </c>
    </row>
    <row r="465" spans="1:9" x14ac:dyDescent="0.2">
      <c r="A465" s="1"/>
      <c r="C465" s="4"/>
      <c r="D465" s="8"/>
      <c r="E465" s="4"/>
      <c r="F465" s="8"/>
      <c r="G465" s="4"/>
      <c r="H465" s="8"/>
      <c r="I465" s="4"/>
    </row>
    <row r="466" spans="1:9" x14ac:dyDescent="0.2">
      <c r="A466" s="1" t="s">
        <v>21</v>
      </c>
      <c r="C466" s="4"/>
      <c r="D466" s="8"/>
      <c r="E466" s="4"/>
      <c r="F466" s="8"/>
      <c r="G466" s="4"/>
      <c r="H466" s="8"/>
      <c r="I466" s="4"/>
    </row>
    <row r="467" spans="1:9" x14ac:dyDescent="0.2">
      <c r="A467" s="2">
        <v>1</v>
      </c>
      <c r="B467" s="1" t="s">
        <v>126</v>
      </c>
      <c r="C467" s="4">
        <v>342</v>
      </c>
      <c r="D467" s="8">
        <v>12.62</v>
      </c>
      <c r="E467" s="4">
        <v>158</v>
      </c>
      <c r="F467" s="8">
        <v>12.78</v>
      </c>
      <c r="G467" s="4">
        <v>184</v>
      </c>
      <c r="H467" s="8">
        <v>12.66</v>
      </c>
      <c r="I467" s="4">
        <v>0</v>
      </c>
    </row>
    <row r="468" spans="1:9" x14ac:dyDescent="0.2">
      <c r="A468" s="2">
        <v>2</v>
      </c>
      <c r="B468" s="1" t="s">
        <v>111</v>
      </c>
      <c r="C468" s="4">
        <v>201</v>
      </c>
      <c r="D468" s="8">
        <v>7.42</v>
      </c>
      <c r="E468" s="4">
        <v>166</v>
      </c>
      <c r="F468" s="8">
        <v>13.43</v>
      </c>
      <c r="G468" s="4">
        <v>35</v>
      </c>
      <c r="H468" s="8">
        <v>2.41</v>
      </c>
      <c r="I468" s="4">
        <v>0</v>
      </c>
    </row>
    <row r="469" spans="1:9" x14ac:dyDescent="0.2">
      <c r="A469" s="2">
        <v>3</v>
      </c>
      <c r="B469" s="1" t="s">
        <v>110</v>
      </c>
      <c r="C469" s="4">
        <v>195</v>
      </c>
      <c r="D469" s="8">
        <v>7.2</v>
      </c>
      <c r="E469" s="4">
        <v>172</v>
      </c>
      <c r="F469" s="8">
        <v>13.92</v>
      </c>
      <c r="G469" s="4">
        <v>23</v>
      </c>
      <c r="H469" s="8">
        <v>1.58</v>
      </c>
      <c r="I469" s="4">
        <v>0</v>
      </c>
    </row>
    <row r="470" spans="1:9" x14ac:dyDescent="0.2">
      <c r="A470" s="2">
        <v>4</v>
      </c>
      <c r="B470" s="1" t="s">
        <v>105</v>
      </c>
      <c r="C470" s="4">
        <v>152</v>
      </c>
      <c r="D470" s="8">
        <v>5.61</v>
      </c>
      <c r="E470" s="4">
        <v>87</v>
      </c>
      <c r="F470" s="8">
        <v>7.04</v>
      </c>
      <c r="G470" s="4">
        <v>65</v>
      </c>
      <c r="H470" s="8">
        <v>4.47</v>
      </c>
      <c r="I470" s="4">
        <v>0</v>
      </c>
    </row>
    <row r="471" spans="1:9" x14ac:dyDescent="0.2">
      <c r="A471" s="2">
        <v>5</v>
      </c>
      <c r="B471" s="1" t="s">
        <v>94</v>
      </c>
      <c r="C471" s="4">
        <v>140</v>
      </c>
      <c r="D471" s="8">
        <v>5.17</v>
      </c>
      <c r="E471" s="4">
        <v>28</v>
      </c>
      <c r="F471" s="8">
        <v>2.27</v>
      </c>
      <c r="G471" s="4">
        <v>112</v>
      </c>
      <c r="H471" s="8">
        <v>7.71</v>
      </c>
      <c r="I471" s="4">
        <v>0</v>
      </c>
    </row>
    <row r="472" spans="1:9" x14ac:dyDescent="0.2">
      <c r="A472" s="2">
        <v>6</v>
      </c>
      <c r="B472" s="1" t="s">
        <v>107</v>
      </c>
      <c r="C472" s="4">
        <v>129</v>
      </c>
      <c r="D472" s="8">
        <v>4.76</v>
      </c>
      <c r="E472" s="4">
        <v>40</v>
      </c>
      <c r="F472" s="8">
        <v>3.24</v>
      </c>
      <c r="G472" s="4">
        <v>89</v>
      </c>
      <c r="H472" s="8">
        <v>6.13</v>
      </c>
      <c r="I472" s="4">
        <v>0</v>
      </c>
    </row>
    <row r="473" spans="1:9" x14ac:dyDescent="0.2">
      <c r="A473" s="2">
        <v>7</v>
      </c>
      <c r="B473" s="1" t="s">
        <v>95</v>
      </c>
      <c r="C473" s="4">
        <v>114</v>
      </c>
      <c r="D473" s="8">
        <v>4.21</v>
      </c>
      <c r="E473" s="4">
        <v>37</v>
      </c>
      <c r="F473" s="8">
        <v>2.99</v>
      </c>
      <c r="G473" s="4">
        <v>77</v>
      </c>
      <c r="H473" s="8">
        <v>5.3</v>
      </c>
      <c r="I473" s="4">
        <v>0</v>
      </c>
    </row>
    <row r="474" spans="1:9" x14ac:dyDescent="0.2">
      <c r="A474" s="2">
        <v>8</v>
      </c>
      <c r="B474" s="1" t="s">
        <v>101</v>
      </c>
      <c r="C474" s="4">
        <v>101</v>
      </c>
      <c r="D474" s="8">
        <v>3.73</v>
      </c>
      <c r="E474" s="4">
        <v>28</v>
      </c>
      <c r="F474" s="8">
        <v>2.27</v>
      </c>
      <c r="G474" s="4">
        <v>73</v>
      </c>
      <c r="H474" s="8">
        <v>5.0199999999999996</v>
      </c>
      <c r="I474" s="4">
        <v>0</v>
      </c>
    </row>
    <row r="475" spans="1:9" x14ac:dyDescent="0.2">
      <c r="A475" s="2">
        <v>9</v>
      </c>
      <c r="B475" s="1" t="s">
        <v>112</v>
      </c>
      <c r="C475" s="4">
        <v>96</v>
      </c>
      <c r="D475" s="8">
        <v>3.54</v>
      </c>
      <c r="E475" s="4">
        <v>57</v>
      </c>
      <c r="F475" s="8">
        <v>4.6100000000000003</v>
      </c>
      <c r="G475" s="4">
        <v>24</v>
      </c>
      <c r="H475" s="8">
        <v>1.65</v>
      </c>
      <c r="I475" s="4">
        <v>1</v>
      </c>
    </row>
    <row r="476" spans="1:9" x14ac:dyDescent="0.2">
      <c r="A476" s="2">
        <v>10</v>
      </c>
      <c r="B476" s="1" t="s">
        <v>96</v>
      </c>
      <c r="C476" s="4">
        <v>95</v>
      </c>
      <c r="D476" s="8">
        <v>3.51</v>
      </c>
      <c r="E476" s="4">
        <v>25</v>
      </c>
      <c r="F476" s="8">
        <v>2.02</v>
      </c>
      <c r="G476" s="4">
        <v>70</v>
      </c>
      <c r="H476" s="8">
        <v>4.82</v>
      </c>
      <c r="I476" s="4">
        <v>0</v>
      </c>
    </row>
    <row r="477" spans="1:9" x14ac:dyDescent="0.2">
      <c r="A477" s="2">
        <v>11</v>
      </c>
      <c r="B477" s="1" t="s">
        <v>103</v>
      </c>
      <c r="C477" s="4">
        <v>91</v>
      </c>
      <c r="D477" s="8">
        <v>3.36</v>
      </c>
      <c r="E477" s="4">
        <v>65</v>
      </c>
      <c r="F477" s="8">
        <v>5.26</v>
      </c>
      <c r="G477" s="4">
        <v>26</v>
      </c>
      <c r="H477" s="8">
        <v>1.79</v>
      </c>
      <c r="I477" s="4">
        <v>0</v>
      </c>
    </row>
    <row r="478" spans="1:9" x14ac:dyDescent="0.2">
      <c r="A478" s="2">
        <v>12</v>
      </c>
      <c r="B478" s="1" t="s">
        <v>104</v>
      </c>
      <c r="C478" s="4">
        <v>84</v>
      </c>
      <c r="D478" s="8">
        <v>3.1</v>
      </c>
      <c r="E478" s="4">
        <v>33</v>
      </c>
      <c r="F478" s="8">
        <v>2.67</v>
      </c>
      <c r="G478" s="4">
        <v>51</v>
      </c>
      <c r="H478" s="8">
        <v>3.51</v>
      </c>
      <c r="I478" s="4">
        <v>0</v>
      </c>
    </row>
    <row r="479" spans="1:9" x14ac:dyDescent="0.2">
      <c r="A479" s="2">
        <v>13</v>
      </c>
      <c r="B479" s="1" t="s">
        <v>113</v>
      </c>
      <c r="C479" s="4">
        <v>71</v>
      </c>
      <c r="D479" s="8">
        <v>2.62</v>
      </c>
      <c r="E479" s="4">
        <v>65</v>
      </c>
      <c r="F479" s="8">
        <v>5.26</v>
      </c>
      <c r="G479" s="4">
        <v>6</v>
      </c>
      <c r="H479" s="8">
        <v>0.41</v>
      </c>
      <c r="I479" s="4">
        <v>0</v>
      </c>
    </row>
    <row r="480" spans="1:9" x14ac:dyDescent="0.2">
      <c r="A480" s="2">
        <v>14</v>
      </c>
      <c r="B480" s="1" t="s">
        <v>109</v>
      </c>
      <c r="C480" s="4">
        <v>60</v>
      </c>
      <c r="D480" s="8">
        <v>2.21</v>
      </c>
      <c r="E480" s="4">
        <v>23</v>
      </c>
      <c r="F480" s="8">
        <v>1.86</v>
      </c>
      <c r="G480" s="4">
        <v>37</v>
      </c>
      <c r="H480" s="8">
        <v>2.5499999999999998</v>
      </c>
      <c r="I480" s="4">
        <v>0</v>
      </c>
    </row>
    <row r="481" spans="1:9" x14ac:dyDescent="0.2">
      <c r="A481" s="2">
        <v>15</v>
      </c>
      <c r="B481" s="1" t="s">
        <v>97</v>
      </c>
      <c r="C481" s="4">
        <v>51</v>
      </c>
      <c r="D481" s="8">
        <v>1.88</v>
      </c>
      <c r="E481" s="4">
        <v>20</v>
      </c>
      <c r="F481" s="8">
        <v>1.62</v>
      </c>
      <c r="G481" s="4">
        <v>31</v>
      </c>
      <c r="H481" s="8">
        <v>2.13</v>
      </c>
      <c r="I481" s="4">
        <v>0</v>
      </c>
    </row>
    <row r="482" spans="1:9" x14ac:dyDescent="0.2">
      <c r="A482" s="2">
        <v>16</v>
      </c>
      <c r="B482" s="1" t="s">
        <v>99</v>
      </c>
      <c r="C482" s="4">
        <v>49</v>
      </c>
      <c r="D482" s="8">
        <v>1.81</v>
      </c>
      <c r="E482" s="4">
        <v>10</v>
      </c>
      <c r="F482" s="8">
        <v>0.81</v>
      </c>
      <c r="G482" s="4">
        <v>39</v>
      </c>
      <c r="H482" s="8">
        <v>2.68</v>
      </c>
      <c r="I482" s="4">
        <v>0</v>
      </c>
    </row>
    <row r="483" spans="1:9" x14ac:dyDescent="0.2">
      <c r="A483" s="2">
        <v>17</v>
      </c>
      <c r="B483" s="1" t="s">
        <v>108</v>
      </c>
      <c r="C483" s="4">
        <v>48</v>
      </c>
      <c r="D483" s="8">
        <v>1.77</v>
      </c>
      <c r="E483" s="4">
        <v>31</v>
      </c>
      <c r="F483" s="8">
        <v>2.5099999999999998</v>
      </c>
      <c r="G483" s="4">
        <v>17</v>
      </c>
      <c r="H483" s="8">
        <v>1.17</v>
      </c>
      <c r="I483" s="4">
        <v>0</v>
      </c>
    </row>
    <row r="484" spans="1:9" x14ac:dyDescent="0.2">
      <c r="A484" s="2">
        <v>18</v>
      </c>
      <c r="B484" s="1" t="s">
        <v>102</v>
      </c>
      <c r="C484" s="4">
        <v>42</v>
      </c>
      <c r="D484" s="8">
        <v>1.55</v>
      </c>
      <c r="E484" s="4">
        <v>21</v>
      </c>
      <c r="F484" s="8">
        <v>1.7</v>
      </c>
      <c r="G484" s="4">
        <v>20</v>
      </c>
      <c r="H484" s="8">
        <v>1.38</v>
      </c>
      <c r="I484" s="4">
        <v>1</v>
      </c>
    </row>
    <row r="485" spans="1:9" x14ac:dyDescent="0.2">
      <c r="A485" s="2">
        <v>19</v>
      </c>
      <c r="B485" s="1" t="s">
        <v>114</v>
      </c>
      <c r="C485" s="4">
        <v>39</v>
      </c>
      <c r="D485" s="8">
        <v>1.44</v>
      </c>
      <c r="E485" s="4">
        <v>2</v>
      </c>
      <c r="F485" s="8">
        <v>0.16</v>
      </c>
      <c r="G485" s="4">
        <v>36</v>
      </c>
      <c r="H485" s="8">
        <v>2.48</v>
      </c>
      <c r="I485" s="4">
        <v>1</v>
      </c>
    </row>
    <row r="486" spans="1:9" x14ac:dyDescent="0.2">
      <c r="A486" s="2">
        <v>20</v>
      </c>
      <c r="B486" s="1" t="s">
        <v>98</v>
      </c>
      <c r="C486" s="4">
        <v>38</v>
      </c>
      <c r="D486" s="8">
        <v>1.4</v>
      </c>
      <c r="E486" s="4">
        <v>11</v>
      </c>
      <c r="F486" s="8">
        <v>0.89</v>
      </c>
      <c r="G486" s="4">
        <v>27</v>
      </c>
      <c r="H486" s="8">
        <v>1.86</v>
      </c>
      <c r="I486" s="4">
        <v>0</v>
      </c>
    </row>
    <row r="487" spans="1:9" x14ac:dyDescent="0.2">
      <c r="A487" s="2">
        <v>20</v>
      </c>
      <c r="B487" s="1" t="s">
        <v>127</v>
      </c>
      <c r="C487" s="4">
        <v>38</v>
      </c>
      <c r="D487" s="8">
        <v>1.4</v>
      </c>
      <c r="E487" s="4">
        <v>13</v>
      </c>
      <c r="F487" s="8">
        <v>1.05</v>
      </c>
      <c r="G487" s="4">
        <v>25</v>
      </c>
      <c r="H487" s="8">
        <v>1.72</v>
      </c>
      <c r="I487" s="4">
        <v>0</v>
      </c>
    </row>
    <row r="488" spans="1:9" x14ac:dyDescent="0.2">
      <c r="A488" s="1"/>
      <c r="C488" s="4"/>
      <c r="D488" s="8"/>
      <c r="E488" s="4"/>
      <c r="F488" s="8"/>
      <c r="G488" s="4"/>
      <c r="H488" s="8"/>
      <c r="I488" s="4"/>
    </row>
    <row r="489" spans="1:9" x14ac:dyDescent="0.2">
      <c r="A489" s="1" t="s">
        <v>22</v>
      </c>
      <c r="C489" s="4"/>
      <c r="D489" s="8"/>
      <c r="E489" s="4"/>
      <c r="F489" s="8"/>
      <c r="G489" s="4"/>
      <c r="H489" s="8"/>
      <c r="I489" s="4"/>
    </row>
    <row r="490" spans="1:9" x14ac:dyDescent="0.2">
      <c r="A490" s="2">
        <v>1</v>
      </c>
      <c r="B490" s="1" t="s">
        <v>110</v>
      </c>
      <c r="C490" s="4">
        <v>314</v>
      </c>
      <c r="D490" s="8">
        <v>11.9</v>
      </c>
      <c r="E490" s="4">
        <v>266</v>
      </c>
      <c r="F490" s="8">
        <v>19.489999999999998</v>
      </c>
      <c r="G490" s="4">
        <v>48</v>
      </c>
      <c r="H490" s="8">
        <v>3.81</v>
      </c>
      <c r="I490" s="4">
        <v>0</v>
      </c>
    </row>
    <row r="491" spans="1:9" x14ac:dyDescent="0.2">
      <c r="A491" s="2">
        <v>2</v>
      </c>
      <c r="B491" s="1" t="s">
        <v>111</v>
      </c>
      <c r="C491" s="4">
        <v>269</v>
      </c>
      <c r="D491" s="8">
        <v>10.199999999999999</v>
      </c>
      <c r="E491" s="4">
        <v>226</v>
      </c>
      <c r="F491" s="8">
        <v>16.559999999999999</v>
      </c>
      <c r="G491" s="4">
        <v>43</v>
      </c>
      <c r="H491" s="8">
        <v>3.41</v>
      </c>
      <c r="I491" s="4">
        <v>0</v>
      </c>
    </row>
    <row r="492" spans="1:9" x14ac:dyDescent="0.2">
      <c r="A492" s="2">
        <v>3</v>
      </c>
      <c r="B492" s="1" t="s">
        <v>107</v>
      </c>
      <c r="C492" s="4">
        <v>158</v>
      </c>
      <c r="D492" s="8">
        <v>5.99</v>
      </c>
      <c r="E492" s="4">
        <v>46</v>
      </c>
      <c r="F492" s="8">
        <v>3.37</v>
      </c>
      <c r="G492" s="4">
        <v>112</v>
      </c>
      <c r="H492" s="8">
        <v>8.89</v>
      </c>
      <c r="I492" s="4">
        <v>0</v>
      </c>
    </row>
    <row r="493" spans="1:9" x14ac:dyDescent="0.2">
      <c r="A493" s="2">
        <v>4</v>
      </c>
      <c r="B493" s="1" t="s">
        <v>105</v>
      </c>
      <c r="C493" s="4">
        <v>156</v>
      </c>
      <c r="D493" s="8">
        <v>5.91</v>
      </c>
      <c r="E493" s="4">
        <v>89</v>
      </c>
      <c r="F493" s="8">
        <v>6.52</v>
      </c>
      <c r="G493" s="4">
        <v>67</v>
      </c>
      <c r="H493" s="8">
        <v>5.32</v>
      </c>
      <c r="I493" s="4">
        <v>0</v>
      </c>
    </row>
    <row r="494" spans="1:9" x14ac:dyDescent="0.2">
      <c r="A494" s="2">
        <v>5</v>
      </c>
      <c r="B494" s="1" t="s">
        <v>94</v>
      </c>
      <c r="C494" s="4">
        <v>152</v>
      </c>
      <c r="D494" s="8">
        <v>5.76</v>
      </c>
      <c r="E494" s="4">
        <v>29</v>
      </c>
      <c r="F494" s="8">
        <v>2.12</v>
      </c>
      <c r="G494" s="4">
        <v>123</v>
      </c>
      <c r="H494" s="8">
        <v>9.76</v>
      </c>
      <c r="I494" s="4">
        <v>0</v>
      </c>
    </row>
    <row r="495" spans="1:9" x14ac:dyDescent="0.2">
      <c r="A495" s="2">
        <v>6</v>
      </c>
      <c r="B495" s="1" t="s">
        <v>112</v>
      </c>
      <c r="C495" s="4">
        <v>136</v>
      </c>
      <c r="D495" s="8">
        <v>5.16</v>
      </c>
      <c r="E495" s="4">
        <v>101</v>
      </c>
      <c r="F495" s="8">
        <v>7.4</v>
      </c>
      <c r="G495" s="4">
        <v>35</v>
      </c>
      <c r="H495" s="8">
        <v>2.78</v>
      </c>
      <c r="I495" s="4">
        <v>0</v>
      </c>
    </row>
    <row r="496" spans="1:9" x14ac:dyDescent="0.2">
      <c r="A496" s="2">
        <v>7</v>
      </c>
      <c r="B496" s="1" t="s">
        <v>96</v>
      </c>
      <c r="C496" s="4">
        <v>116</v>
      </c>
      <c r="D496" s="8">
        <v>4.4000000000000004</v>
      </c>
      <c r="E496" s="4">
        <v>28</v>
      </c>
      <c r="F496" s="8">
        <v>2.0499999999999998</v>
      </c>
      <c r="G496" s="4">
        <v>88</v>
      </c>
      <c r="H496" s="8">
        <v>6.98</v>
      </c>
      <c r="I496" s="4">
        <v>0</v>
      </c>
    </row>
    <row r="497" spans="1:9" x14ac:dyDescent="0.2">
      <c r="A497" s="2">
        <v>8</v>
      </c>
      <c r="B497" s="1" t="s">
        <v>108</v>
      </c>
      <c r="C497" s="4">
        <v>107</v>
      </c>
      <c r="D497" s="8">
        <v>4.0599999999999996</v>
      </c>
      <c r="E497" s="4">
        <v>82</v>
      </c>
      <c r="F497" s="8">
        <v>6.01</v>
      </c>
      <c r="G497" s="4">
        <v>25</v>
      </c>
      <c r="H497" s="8">
        <v>1.98</v>
      </c>
      <c r="I497" s="4">
        <v>0</v>
      </c>
    </row>
    <row r="498" spans="1:9" x14ac:dyDescent="0.2">
      <c r="A498" s="2">
        <v>9</v>
      </c>
      <c r="B498" s="1" t="s">
        <v>113</v>
      </c>
      <c r="C498" s="4">
        <v>104</v>
      </c>
      <c r="D498" s="8">
        <v>3.94</v>
      </c>
      <c r="E498" s="4">
        <v>88</v>
      </c>
      <c r="F498" s="8">
        <v>6.45</v>
      </c>
      <c r="G498" s="4">
        <v>16</v>
      </c>
      <c r="H498" s="8">
        <v>1.27</v>
      </c>
      <c r="I498" s="4">
        <v>0</v>
      </c>
    </row>
    <row r="499" spans="1:9" x14ac:dyDescent="0.2">
      <c r="A499" s="2">
        <v>10</v>
      </c>
      <c r="B499" s="1" t="s">
        <v>103</v>
      </c>
      <c r="C499" s="4">
        <v>91</v>
      </c>
      <c r="D499" s="8">
        <v>3.45</v>
      </c>
      <c r="E499" s="4">
        <v>64</v>
      </c>
      <c r="F499" s="8">
        <v>4.6900000000000004</v>
      </c>
      <c r="G499" s="4">
        <v>27</v>
      </c>
      <c r="H499" s="8">
        <v>2.14</v>
      </c>
      <c r="I499" s="4">
        <v>0</v>
      </c>
    </row>
    <row r="500" spans="1:9" x14ac:dyDescent="0.2">
      <c r="A500" s="2">
        <v>10</v>
      </c>
      <c r="B500" s="1" t="s">
        <v>104</v>
      </c>
      <c r="C500" s="4">
        <v>91</v>
      </c>
      <c r="D500" s="8">
        <v>3.45</v>
      </c>
      <c r="E500" s="4">
        <v>54</v>
      </c>
      <c r="F500" s="8">
        <v>3.96</v>
      </c>
      <c r="G500" s="4">
        <v>37</v>
      </c>
      <c r="H500" s="8">
        <v>2.94</v>
      </c>
      <c r="I500" s="4">
        <v>0</v>
      </c>
    </row>
    <row r="501" spans="1:9" x14ac:dyDescent="0.2">
      <c r="A501" s="2">
        <v>12</v>
      </c>
      <c r="B501" s="1" t="s">
        <v>95</v>
      </c>
      <c r="C501" s="4">
        <v>85</v>
      </c>
      <c r="D501" s="8">
        <v>3.22</v>
      </c>
      <c r="E501" s="4">
        <v>23</v>
      </c>
      <c r="F501" s="8">
        <v>1.68</v>
      </c>
      <c r="G501" s="4">
        <v>62</v>
      </c>
      <c r="H501" s="8">
        <v>4.92</v>
      </c>
      <c r="I501" s="4">
        <v>0</v>
      </c>
    </row>
    <row r="502" spans="1:9" x14ac:dyDescent="0.2">
      <c r="A502" s="2">
        <v>13</v>
      </c>
      <c r="B502" s="1" t="s">
        <v>102</v>
      </c>
      <c r="C502" s="4">
        <v>62</v>
      </c>
      <c r="D502" s="8">
        <v>2.35</v>
      </c>
      <c r="E502" s="4">
        <v>36</v>
      </c>
      <c r="F502" s="8">
        <v>2.64</v>
      </c>
      <c r="G502" s="4">
        <v>26</v>
      </c>
      <c r="H502" s="8">
        <v>2.06</v>
      </c>
      <c r="I502" s="4">
        <v>0</v>
      </c>
    </row>
    <row r="503" spans="1:9" x14ac:dyDescent="0.2">
      <c r="A503" s="2">
        <v>14</v>
      </c>
      <c r="B503" s="1" t="s">
        <v>97</v>
      </c>
      <c r="C503" s="4">
        <v>55</v>
      </c>
      <c r="D503" s="8">
        <v>2.08</v>
      </c>
      <c r="E503" s="4">
        <v>12</v>
      </c>
      <c r="F503" s="8">
        <v>0.88</v>
      </c>
      <c r="G503" s="4">
        <v>43</v>
      </c>
      <c r="H503" s="8">
        <v>3.41</v>
      </c>
      <c r="I503" s="4">
        <v>0</v>
      </c>
    </row>
    <row r="504" spans="1:9" x14ac:dyDescent="0.2">
      <c r="A504" s="2">
        <v>15</v>
      </c>
      <c r="B504" s="1" t="s">
        <v>109</v>
      </c>
      <c r="C504" s="4">
        <v>50</v>
      </c>
      <c r="D504" s="8">
        <v>1.9</v>
      </c>
      <c r="E504" s="4">
        <v>31</v>
      </c>
      <c r="F504" s="8">
        <v>2.27</v>
      </c>
      <c r="G504" s="4">
        <v>18</v>
      </c>
      <c r="H504" s="8">
        <v>1.43</v>
      </c>
      <c r="I504" s="4">
        <v>0</v>
      </c>
    </row>
    <row r="505" spans="1:9" x14ac:dyDescent="0.2">
      <c r="A505" s="2">
        <v>16</v>
      </c>
      <c r="B505" s="1" t="s">
        <v>99</v>
      </c>
      <c r="C505" s="4">
        <v>49</v>
      </c>
      <c r="D505" s="8">
        <v>1.86</v>
      </c>
      <c r="E505" s="4">
        <v>13</v>
      </c>
      <c r="F505" s="8">
        <v>0.95</v>
      </c>
      <c r="G505" s="4">
        <v>36</v>
      </c>
      <c r="H505" s="8">
        <v>2.86</v>
      </c>
      <c r="I505" s="4">
        <v>0</v>
      </c>
    </row>
    <row r="506" spans="1:9" x14ac:dyDescent="0.2">
      <c r="A506" s="2">
        <v>17</v>
      </c>
      <c r="B506" s="1" t="s">
        <v>98</v>
      </c>
      <c r="C506" s="4">
        <v>40</v>
      </c>
      <c r="D506" s="8">
        <v>1.52</v>
      </c>
      <c r="E506" s="4">
        <v>10</v>
      </c>
      <c r="F506" s="8">
        <v>0.73</v>
      </c>
      <c r="G506" s="4">
        <v>30</v>
      </c>
      <c r="H506" s="8">
        <v>2.38</v>
      </c>
      <c r="I506" s="4">
        <v>0</v>
      </c>
    </row>
    <row r="507" spans="1:9" x14ac:dyDescent="0.2">
      <c r="A507" s="2">
        <v>17</v>
      </c>
      <c r="B507" s="1" t="s">
        <v>106</v>
      </c>
      <c r="C507" s="4">
        <v>40</v>
      </c>
      <c r="D507" s="8">
        <v>1.52</v>
      </c>
      <c r="E507" s="4">
        <v>11</v>
      </c>
      <c r="F507" s="8">
        <v>0.81</v>
      </c>
      <c r="G507" s="4">
        <v>29</v>
      </c>
      <c r="H507" s="8">
        <v>2.2999999999999998</v>
      </c>
      <c r="I507" s="4">
        <v>0</v>
      </c>
    </row>
    <row r="508" spans="1:9" x14ac:dyDescent="0.2">
      <c r="A508" s="2">
        <v>19</v>
      </c>
      <c r="B508" s="1" t="s">
        <v>116</v>
      </c>
      <c r="C508" s="4">
        <v>37</v>
      </c>
      <c r="D508" s="8">
        <v>1.4</v>
      </c>
      <c r="E508" s="4">
        <v>0</v>
      </c>
      <c r="F508" s="8">
        <v>0</v>
      </c>
      <c r="G508" s="4">
        <v>30</v>
      </c>
      <c r="H508" s="8">
        <v>2.38</v>
      </c>
      <c r="I508" s="4">
        <v>1</v>
      </c>
    </row>
    <row r="509" spans="1:9" x14ac:dyDescent="0.2">
      <c r="A509" s="2">
        <v>20</v>
      </c>
      <c r="B509" s="1" t="s">
        <v>101</v>
      </c>
      <c r="C509" s="4">
        <v>35</v>
      </c>
      <c r="D509" s="8">
        <v>1.33</v>
      </c>
      <c r="E509" s="4">
        <v>14</v>
      </c>
      <c r="F509" s="8">
        <v>1.03</v>
      </c>
      <c r="G509" s="4">
        <v>21</v>
      </c>
      <c r="H509" s="8">
        <v>1.67</v>
      </c>
      <c r="I509" s="4">
        <v>0</v>
      </c>
    </row>
    <row r="510" spans="1:9" x14ac:dyDescent="0.2">
      <c r="A510" s="1"/>
      <c r="C510" s="4"/>
      <c r="D510" s="8"/>
      <c r="E510" s="4"/>
      <c r="F510" s="8"/>
      <c r="G510" s="4"/>
      <c r="H510" s="8"/>
      <c r="I510" s="4"/>
    </row>
    <row r="511" spans="1:9" x14ac:dyDescent="0.2">
      <c r="A511" s="1" t="s">
        <v>23</v>
      </c>
      <c r="C511" s="4"/>
      <c r="D511" s="8"/>
      <c r="E511" s="4"/>
      <c r="F511" s="8"/>
      <c r="G511" s="4"/>
      <c r="H511" s="8"/>
      <c r="I511" s="4"/>
    </row>
    <row r="512" spans="1:9" x14ac:dyDescent="0.2">
      <c r="A512" s="2">
        <v>1</v>
      </c>
      <c r="B512" s="1" t="s">
        <v>110</v>
      </c>
      <c r="C512" s="4">
        <v>577</v>
      </c>
      <c r="D512" s="8">
        <v>10.32</v>
      </c>
      <c r="E512" s="4">
        <v>475</v>
      </c>
      <c r="F512" s="8">
        <v>19.53</v>
      </c>
      <c r="G512" s="4">
        <v>102</v>
      </c>
      <c r="H512" s="8">
        <v>3.23</v>
      </c>
      <c r="I512" s="4">
        <v>0</v>
      </c>
    </row>
    <row r="513" spans="1:9" x14ac:dyDescent="0.2">
      <c r="A513" s="2">
        <v>2</v>
      </c>
      <c r="B513" s="1" t="s">
        <v>111</v>
      </c>
      <c r="C513" s="4">
        <v>549</v>
      </c>
      <c r="D513" s="8">
        <v>9.82</v>
      </c>
      <c r="E513" s="4">
        <v>434</v>
      </c>
      <c r="F513" s="8">
        <v>17.850000000000001</v>
      </c>
      <c r="G513" s="4">
        <v>115</v>
      </c>
      <c r="H513" s="8">
        <v>3.65</v>
      </c>
      <c r="I513" s="4">
        <v>0</v>
      </c>
    </row>
    <row r="514" spans="1:9" x14ac:dyDescent="0.2">
      <c r="A514" s="2">
        <v>3</v>
      </c>
      <c r="B514" s="1" t="s">
        <v>94</v>
      </c>
      <c r="C514" s="4">
        <v>326</v>
      </c>
      <c r="D514" s="8">
        <v>5.83</v>
      </c>
      <c r="E514" s="4">
        <v>30</v>
      </c>
      <c r="F514" s="8">
        <v>1.23</v>
      </c>
      <c r="G514" s="4">
        <v>296</v>
      </c>
      <c r="H514" s="8">
        <v>9.3800000000000008</v>
      </c>
      <c r="I514" s="4">
        <v>0</v>
      </c>
    </row>
    <row r="515" spans="1:9" x14ac:dyDescent="0.2">
      <c r="A515" s="2">
        <v>4</v>
      </c>
      <c r="B515" s="1" t="s">
        <v>95</v>
      </c>
      <c r="C515" s="4">
        <v>300</v>
      </c>
      <c r="D515" s="8">
        <v>5.36</v>
      </c>
      <c r="E515" s="4">
        <v>71</v>
      </c>
      <c r="F515" s="8">
        <v>2.92</v>
      </c>
      <c r="G515" s="4">
        <v>229</v>
      </c>
      <c r="H515" s="8">
        <v>7.26</v>
      </c>
      <c r="I515" s="4">
        <v>0</v>
      </c>
    </row>
    <row r="516" spans="1:9" x14ac:dyDescent="0.2">
      <c r="A516" s="2">
        <v>5</v>
      </c>
      <c r="B516" s="1" t="s">
        <v>112</v>
      </c>
      <c r="C516" s="4">
        <v>292</v>
      </c>
      <c r="D516" s="8">
        <v>5.22</v>
      </c>
      <c r="E516" s="4">
        <v>219</v>
      </c>
      <c r="F516" s="8">
        <v>9</v>
      </c>
      <c r="G516" s="4">
        <v>73</v>
      </c>
      <c r="H516" s="8">
        <v>2.31</v>
      </c>
      <c r="I516" s="4">
        <v>0</v>
      </c>
    </row>
    <row r="517" spans="1:9" x14ac:dyDescent="0.2">
      <c r="A517" s="2">
        <v>6</v>
      </c>
      <c r="B517" s="1" t="s">
        <v>107</v>
      </c>
      <c r="C517" s="4">
        <v>290</v>
      </c>
      <c r="D517" s="8">
        <v>5.19</v>
      </c>
      <c r="E517" s="4">
        <v>81</v>
      </c>
      <c r="F517" s="8">
        <v>3.33</v>
      </c>
      <c r="G517" s="4">
        <v>208</v>
      </c>
      <c r="H517" s="8">
        <v>6.59</v>
      </c>
      <c r="I517" s="4">
        <v>0</v>
      </c>
    </row>
    <row r="518" spans="1:9" x14ac:dyDescent="0.2">
      <c r="A518" s="2">
        <v>7</v>
      </c>
      <c r="B518" s="1" t="s">
        <v>96</v>
      </c>
      <c r="C518" s="4">
        <v>282</v>
      </c>
      <c r="D518" s="8">
        <v>5.04</v>
      </c>
      <c r="E518" s="4">
        <v>45</v>
      </c>
      <c r="F518" s="8">
        <v>1.85</v>
      </c>
      <c r="G518" s="4">
        <v>237</v>
      </c>
      <c r="H518" s="8">
        <v>7.51</v>
      </c>
      <c r="I518" s="4">
        <v>0</v>
      </c>
    </row>
    <row r="519" spans="1:9" x14ac:dyDescent="0.2">
      <c r="A519" s="2">
        <v>8</v>
      </c>
      <c r="B519" s="1" t="s">
        <v>105</v>
      </c>
      <c r="C519" s="4">
        <v>269</v>
      </c>
      <c r="D519" s="8">
        <v>4.8099999999999996</v>
      </c>
      <c r="E519" s="4">
        <v>112</v>
      </c>
      <c r="F519" s="8">
        <v>4.6100000000000003</v>
      </c>
      <c r="G519" s="4">
        <v>157</v>
      </c>
      <c r="H519" s="8">
        <v>4.9800000000000004</v>
      </c>
      <c r="I519" s="4">
        <v>0</v>
      </c>
    </row>
    <row r="520" spans="1:9" x14ac:dyDescent="0.2">
      <c r="A520" s="2">
        <v>9</v>
      </c>
      <c r="B520" s="1" t="s">
        <v>104</v>
      </c>
      <c r="C520" s="4">
        <v>210</v>
      </c>
      <c r="D520" s="8">
        <v>3.76</v>
      </c>
      <c r="E520" s="4">
        <v>89</v>
      </c>
      <c r="F520" s="8">
        <v>3.66</v>
      </c>
      <c r="G520" s="4">
        <v>121</v>
      </c>
      <c r="H520" s="8">
        <v>3.84</v>
      </c>
      <c r="I520" s="4">
        <v>0</v>
      </c>
    </row>
    <row r="521" spans="1:9" x14ac:dyDescent="0.2">
      <c r="A521" s="2">
        <v>10</v>
      </c>
      <c r="B521" s="1" t="s">
        <v>113</v>
      </c>
      <c r="C521" s="4">
        <v>198</v>
      </c>
      <c r="D521" s="8">
        <v>3.54</v>
      </c>
      <c r="E521" s="4">
        <v>171</v>
      </c>
      <c r="F521" s="8">
        <v>7.03</v>
      </c>
      <c r="G521" s="4">
        <v>27</v>
      </c>
      <c r="H521" s="8">
        <v>0.86</v>
      </c>
      <c r="I521" s="4">
        <v>0</v>
      </c>
    </row>
    <row r="522" spans="1:9" x14ac:dyDescent="0.2">
      <c r="A522" s="2">
        <v>11</v>
      </c>
      <c r="B522" s="1" t="s">
        <v>108</v>
      </c>
      <c r="C522" s="4">
        <v>176</v>
      </c>
      <c r="D522" s="8">
        <v>3.15</v>
      </c>
      <c r="E522" s="4">
        <v>118</v>
      </c>
      <c r="F522" s="8">
        <v>4.8499999999999996</v>
      </c>
      <c r="G522" s="4">
        <v>58</v>
      </c>
      <c r="H522" s="8">
        <v>1.84</v>
      </c>
      <c r="I522" s="4">
        <v>0</v>
      </c>
    </row>
    <row r="523" spans="1:9" x14ac:dyDescent="0.2">
      <c r="A523" s="2">
        <v>12</v>
      </c>
      <c r="B523" s="1" t="s">
        <v>109</v>
      </c>
      <c r="C523" s="4">
        <v>140</v>
      </c>
      <c r="D523" s="8">
        <v>2.5</v>
      </c>
      <c r="E523" s="4">
        <v>53</v>
      </c>
      <c r="F523" s="8">
        <v>2.1800000000000002</v>
      </c>
      <c r="G523" s="4">
        <v>86</v>
      </c>
      <c r="H523" s="8">
        <v>2.73</v>
      </c>
      <c r="I523" s="4">
        <v>0</v>
      </c>
    </row>
    <row r="524" spans="1:9" x14ac:dyDescent="0.2">
      <c r="A524" s="2">
        <v>13</v>
      </c>
      <c r="B524" s="1" t="s">
        <v>97</v>
      </c>
      <c r="C524" s="4">
        <v>132</v>
      </c>
      <c r="D524" s="8">
        <v>2.36</v>
      </c>
      <c r="E524" s="4">
        <v>35</v>
      </c>
      <c r="F524" s="8">
        <v>1.44</v>
      </c>
      <c r="G524" s="4">
        <v>97</v>
      </c>
      <c r="H524" s="8">
        <v>3.08</v>
      </c>
      <c r="I524" s="4">
        <v>0</v>
      </c>
    </row>
    <row r="525" spans="1:9" x14ac:dyDescent="0.2">
      <c r="A525" s="2">
        <v>14</v>
      </c>
      <c r="B525" s="1" t="s">
        <v>103</v>
      </c>
      <c r="C525" s="4">
        <v>129</v>
      </c>
      <c r="D525" s="8">
        <v>2.31</v>
      </c>
      <c r="E525" s="4">
        <v>82</v>
      </c>
      <c r="F525" s="8">
        <v>3.37</v>
      </c>
      <c r="G525" s="4">
        <v>47</v>
      </c>
      <c r="H525" s="8">
        <v>1.49</v>
      </c>
      <c r="I525" s="4">
        <v>0</v>
      </c>
    </row>
    <row r="526" spans="1:9" x14ac:dyDescent="0.2">
      <c r="A526" s="2">
        <v>15</v>
      </c>
      <c r="B526" s="1" t="s">
        <v>100</v>
      </c>
      <c r="C526" s="4">
        <v>93</v>
      </c>
      <c r="D526" s="8">
        <v>1.66</v>
      </c>
      <c r="E526" s="4">
        <v>13</v>
      </c>
      <c r="F526" s="8">
        <v>0.53</v>
      </c>
      <c r="G526" s="4">
        <v>80</v>
      </c>
      <c r="H526" s="8">
        <v>2.54</v>
      </c>
      <c r="I526" s="4">
        <v>0</v>
      </c>
    </row>
    <row r="527" spans="1:9" x14ac:dyDescent="0.2">
      <c r="A527" s="2">
        <v>16</v>
      </c>
      <c r="B527" s="1" t="s">
        <v>98</v>
      </c>
      <c r="C527" s="4">
        <v>89</v>
      </c>
      <c r="D527" s="8">
        <v>1.59</v>
      </c>
      <c r="E527" s="4">
        <v>9</v>
      </c>
      <c r="F527" s="8">
        <v>0.37</v>
      </c>
      <c r="G527" s="4">
        <v>80</v>
      </c>
      <c r="H527" s="8">
        <v>2.54</v>
      </c>
      <c r="I527" s="4">
        <v>0</v>
      </c>
    </row>
    <row r="528" spans="1:9" x14ac:dyDescent="0.2">
      <c r="A528" s="2">
        <v>17</v>
      </c>
      <c r="B528" s="1" t="s">
        <v>101</v>
      </c>
      <c r="C528" s="4">
        <v>87</v>
      </c>
      <c r="D528" s="8">
        <v>1.56</v>
      </c>
      <c r="E528" s="4">
        <v>18</v>
      </c>
      <c r="F528" s="8">
        <v>0.74</v>
      </c>
      <c r="G528" s="4">
        <v>69</v>
      </c>
      <c r="H528" s="8">
        <v>2.19</v>
      </c>
      <c r="I528" s="4">
        <v>0</v>
      </c>
    </row>
    <row r="529" spans="1:9" x14ac:dyDescent="0.2">
      <c r="A529" s="2">
        <v>18</v>
      </c>
      <c r="B529" s="1" t="s">
        <v>122</v>
      </c>
      <c r="C529" s="4">
        <v>84</v>
      </c>
      <c r="D529" s="8">
        <v>1.5</v>
      </c>
      <c r="E529" s="4">
        <v>43</v>
      </c>
      <c r="F529" s="8">
        <v>1.77</v>
      </c>
      <c r="G529" s="4">
        <v>41</v>
      </c>
      <c r="H529" s="8">
        <v>1.3</v>
      </c>
      <c r="I529" s="4">
        <v>0</v>
      </c>
    </row>
    <row r="530" spans="1:9" x14ac:dyDescent="0.2">
      <c r="A530" s="2">
        <v>19</v>
      </c>
      <c r="B530" s="1" t="s">
        <v>102</v>
      </c>
      <c r="C530" s="4">
        <v>80</v>
      </c>
      <c r="D530" s="8">
        <v>1.43</v>
      </c>
      <c r="E530" s="4">
        <v>52</v>
      </c>
      <c r="F530" s="8">
        <v>2.14</v>
      </c>
      <c r="G530" s="4">
        <v>28</v>
      </c>
      <c r="H530" s="8">
        <v>0.89</v>
      </c>
      <c r="I530" s="4">
        <v>0</v>
      </c>
    </row>
    <row r="531" spans="1:9" x14ac:dyDescent="0.2">
      <c r="A531" s="2">
        <v>20</v>
      </c>
      <c r="B531" s="1" t="s">
        <v>106</v>
      </c>
      <c r="C531" s="4">
        <v>79</v>
      </c>
      <c r="D531" s="8">
        <v>1.41</v>
      </c>
      <c r="E531" s="4">
        <v>11</v>
      </c>
      <c r="F531" s="8">
        <v>0.45</v>
      </c>
      <c r="G531" s="4">
        <v>68</v>
      </c>
      <c r="H531" s="8">
        <v>2.16</v>
      </c>
      <c r="I531" s="4">
        <v>0</v>
      </c>
    </row>
    <row r="532" spans="1:9" x14ac:dyDescent="0.2">
      <c r="A532" s="1"/>
      <c r="C532" s="4"/>
      <c r="D532" s="8"/>
      <c r="E532" s="4"/>
      <c r="F532" s="8"/>
      <c r="G532" s="4"/>
      <c r="H532" s="8"/>
      <c r="I532" s="4"/>
    </row>
    <row r="533" spans="1:9" x14ac:dyDescent="0.2">
      <c r="A533" s="1" t="s">
        <v>24</v>
      </c>
      <c r="C533" s="4"/>
      <c r="D533" s="8"/>
      <c r="E533" s="4"/>
      <c r="F533" s="8"/>
      <c r="G533" s="4"/>
      <c r="H533" s="8"/>
      <c r="I533" s="4"/>
    </row>
    <row r="534" spans="1:9" x14ac:dyDescent="0.2">
      <c r="A534" s="2">
        <v>1</v>
      </c>
      <c r="B534" s="1" t="s">
        <v>111</v>
      </c>
      <c r="C534" s="4">
        <v>436</v>
      </c>
      <c r="D534" s="8">
        <v>11.74</v>
      </c>
      <c r="E534" s="4">
        <v>387</v>
      </c>
      <c r="F534" s="8">
        <v>20.03</v>
      </c>
      <c r="G534" s="4">
        <v>49</v>
      </c>
      <c r="H534" s="8">
        <v>2.78</v>
      </c>
      <c r="I534" s="4">
        <v>0</v>
      </c>
    </row>
    <row r="535" spans="1:9" x14ac:dyDescent="0.2">
      <c r="A535" s="2">
        <v>2</v>
      </c>
      <c r="B535" s="1" t="s">
        <v>110</v>
      </c>
      <c r="C535" s="4">
        <v>333</v>
      </c>
      <c r="D535" s="8">
        <v>8.9700000000000006</v>
      </c>
      <c r="E535" s="4">
        <v>282</v>
      </c>
      <c r="F535" s="8">
        <v>14.6</v>
      </c>
      <c r="G535" s="4">
        <v>51</v>
      </c>
      <c r="H535" s="8">
        <v>2.9</v>
      </c>
      <c r="I535" s="4">
        <v>0</v>
      </c>
    </row>
    <row r="536" spans="1:9" x14ac:dyDescent="0.2">
      <c r="A536" s="2">
        <v>3</v>
      </c>
      <c r="B536" s="1" t="s">
        <v>105</v>
      </c>
      <c r="C536" s="4">
        <v>256</v>
      </c>
      <c r="D536" s="8">
        <v>6.89</v>
      </c>
      <c r="E536" s="4">
        <v>148</v>
      </c>
      <c r="F536" s="8">
        <v>7.66</v>
      </c>
      <c r="G536" s="4">
        <v>108</v>
      </c>
      <c r="H536" s="8">
        <v>6.14</v>
      </c>
      <c r="I536" s="4">
        <v>0</v>
      </c>
    </row>
    <row r="537" spans="1:9" x14ac:dyDescent="0.2">
      <c r="A537" s="2">
        <v>4</v>
      </c>
      <c r="B537" s="1" t="s">
        <v>94</v>
      </c>
      <c r="C537" s="4">
        <v>222</v>
      </c>
      <c r="D537" s="8">
        <v>5.98</v>
      </c>
      <c r="E537" s="4">
        <v>46</v>
      </c>
      <c r="F537" s="8">
        <v>2.38</v>
      </c>
      <c r="G537" s="4">
        <v>176</v>
      </c>
      <c r="H537" s="8">
        <v>10</v>
      </c>
      <c r="I537" s="4">
        <v>0</v>
      </c>
    </row>
    <row r="538" spans="1:9" x14ac:dyDescent="0.2">
      <c r="A538" s="2">
        <v>5</v>
      </c>
      <c r="B538" s="1" t="s">
        <v>95</v>
      </c>
      <c r="C538" s="4">
        <v>192</v>
      </c>
      <c r="D538" s="8">
        <v>5.17</v>
      </c>
      <c r="E538" s="4">
        <v>78</v>
      </c>
      <c r="F538" s="8">
        <v>4.04</v>
      </c>
      <c r="G538" s="4">
        <v>114</v>
      </c>
      <c r="H538" s="8">
        <v>6.48</v>
      </c>
      <c r="I538" s="4">
        <v>0</v>
      </c>
    </row>
    <row r="539" spans="1:9" x14ac:dyDescent="0.2">
      <c r="A539" s="2">
        <v>6</v>
      </c>
      <c r="B539" s="1" t="s">
        <v>112</v>
      </c>
      <c r="C539" s="4">
        <v>182</v>
      </c>
      <c r="D539" s="8">
        <v>4.9000000000000004</v>
      </c>
      <c r="E539" s="4">
        <v>146</v>
      </c>
      <c r="F539" s="8">
        <v>7.56</v>
      </c>
      <c r="G539" s="4">
        <v>35</v>
      </c>
      <c r="H539" s="8">
        <v>1.99</v>
      </c>
      <c r="I539" s="4">
        <v>0</v>
      </c>
    </row>
    <row r="540" spans="1:9" x14ac:dyDescent="0.2">
      <c r="A540" s="2">
        <v>7</v>
      </c>
      <c r="B540" s="1" t="s">
        <v>104</v>
      </c>
      <c r="C540" s="4">
        <v>161</v>
      </c>
      <c r="D540" s="8">
        <v>4.34</v>
      </c>
      <c r="E540" s="4">
        <v>89</v>
      </c>
      <c r="F540" s="8">
        <v>4.6100000000000003</v>
      </c>
      <c r="G540" s="4">
        <v>72</v>
      </c>
      <c r="H540" s="8">
        <v>4.09</v>
      </c>
      <c r="I540" s="4">
        <v>0</v>
      </c>
    </row>
    <row r="541" spans="1:9" x14ac:dyDescent="0.2">
      <c r="A541" s="2">
        <v>8</v>
      </c>
      <c r="B541" s="1" t="s">
        <v>103</v>
      </c>
      <c r="C541" s="4">
        <v>150</v>
      </c>
      <c r="D541" s="8">
        <v>4.04</v>
      </c>
      <c r="E541" s="4">
        <v>106</v>
      </c>
      <c r="F541" s="8">
        <v>5.49</v>
      </c>
      <c r="G541" s="4">
        <v>41</v>
      </c>
      <c r="H541" s="8">
        <v>2.33</v>
      </c>
      <c r="I541" s="4">
        <v>3</v>
      </c>
    </row>
    <row r="542" spans="1:9" x14ac:dyDescent="0.2">
      <c r="A542" s="2">
        <v>9</v>
      </c>
      <c r="B542" s="1" t="s">
        <v>107</v>
      </c>
      <c r="C542" s="4">
        <v>143</v>
      </c>
      <c r="D542" s="8">
        <v>3.85</v>
      </c>
      <c r="E542" s="4">
        <v>35</v>
      </c>
      <c r="F542" s="8">
        <v>1.81</v>
      </c>
      <c r="G542" s="4">
        <v>106</v>
      </c>
      <c r="H542" s="8">
        <v>6.02</v>
      </c>
      <c r="I542" s="4">
        <v>1</v>
      </c>
    </row>
    <row r="543" spans="1:9" x14ac:dyDescent="0.2">
      <c r="A543" s="2">
        <v>10</v>
      </c>
      <c r="B543" s="1" t="s">
        <v>96</v>
      </c>
      <c r="C543" s="4">
        <v>136</v>
      </c>
      <c r="D543" s="8">
        <v>3.66</v>
      </c>
      <c r="E543" s="4">
        <v>31</v>
      </c>
      <c r="F543" s="8">
        <v>1.6</v>
      </c>
      <c r="G543" s="4">
        <v>105</v>
      </c>
      <c r="H543" s="8">
        <v>5.97</v>
      </c>
      <c r="I543" s="4">
        <v>0</v>
      </c>
    </row>
    <row r="544" spans="1:9" x14ac:dyDescent="0.2">
      <c r="A544" s="2">
        <v>11</v>
      </c>
      <c r="B544" s="1" t="s">
        <v>113</v>
      </c>
      <c r="C544" s="4">
        <v>118</v>
      </c>
      <c r="D544" s="8">
        <v>3.18</v>
      </c>
      <c r="E544" s="4">
        <v>102</v>
      </c>
      <c r="F544" s="8">
        <v>5.28</v>
      </c>
      <c r="G544" s="4">
        <v>16</v>
      </c>
      <c r="H544" s="8">
        <v>0.91</v>
      </c>
      <c r="I544" s="4">
        <v>0</v>
      </c>
    </row>
    <row r="545" spans="1:9" x14ac:dyDescent="0.2">
      <c r="A545" s="2">
        <v>12</v>
      </c>
      <c r="B545" s="1" t="s">
        <v>108</v>
      </c>
      <c r="C545" s="4">
        <v>101</v>
      </c>
      <c r="D545" s="8">
        <v>2.72</v>
      </c>
      <c r="E545" s="4">
        <v>68</v>
      </c>
      <c r="F545" s="8">
        <v>3.52</v>
      </c>
      <c r="G545" s="4">
        <v>33</v>
      </c>
      <c r="H545" s="8">
        <v>1.88</v>
      </c>
      <c r="I545" s="4">
        <v>0</v>
      </c>
    </row>
    <row r="546" spans="1:9" x14ac:dyDescent="0.2">
      <c r="A546" s="2">
        <v>13</v>
      </c>
      <c r="B546" s="1" t="s">
        <v>102</v>
      </c>
      <c r="C546" s="4">
        <v>94</v>
      </c>
      <c r="D546" s="8">
        <v>2.5299999999999998</v>
      </c>
      <c r="E546" s="4">
        <v>59</v>
      </c>
      <c r="F546" s="8">
        <v>3.05</v>
      </c>
      <c r="G546" s="4">
        <v>35</v>
      </c>
      <c r="H546" s="8">
        <v>1.99</v>
      </c>
      <c r="I546" s="4">
        <v>0</v>
      </c>
    </row>
    <row r="547" spans="1:9" x14ac:dyDescent="0.2">
      <c r="A547" s="2">
        <v>14</v>
      </c>
      <c r="B547" s="1" t="s">
        <v>98</v>
      </c>
      <c r="C547" s="4">
        <v>84</v>
      </c>
      <c r="D547" s="8">
        <v>2.2599999999999998</v>
      </c>
      <c r="E547" s="4">
        <v>11</v>
      </c>
      <c r="F547" s="8">
        <v>0.56999999999999995</v>
      </c>
      <c r="G547" s="4">
        <v>73</v>
      </c>
      <c r="H547" s="8">
        <v>4.1500000000000004</v>
      </c>
      <c r="I547" s="4">
        <v>0</v>
      </c>
    </row>
    <row r="548" spans="1:9" x14ac:dyDescent="0.2">
      <c r="A548" s="2">
        <v>15</v>
      </c>
      <c r="B548" s="1" t="s">
        <v>109</v>
      </c>
      <c r="C548" s="4">
        <v>78</v>
      </c>
      <c r="D548" s="8">
        <v>2.1</v>
      </c>
      <c r="E548" s="4">
        <v>39</v>
      </c>
      <c r="F548" s="8">
        <v>2.02</v>
      </c>
      <c r="G548" s="4">
        <v>36</v>
      </c>
      <c r="H548" s="8">
        <v>2.0499999999999998</v>
      </c>
      <c r="I548" s="4">
        <v>0</v>
      </c>
    </row>
    <row r="549" spans="1:9" x14ac:dyDescent="0.2">
      <c r="A549" s="2">
        <v>16</v>
      </c>
      <c r="B549" s="1" t="s">
        <v>124</v>
      </c>
      <c r="C549" s="4">
        <v>63</v>
      </c>
      <c r="D549" s="8">
        <v>1.7</v>
      </c>
      <c r="E549" s="4">
        <v>18</v>
      </c>
      <c r="F549" s="8">
        <v>0.93</v>
      </c>
      <c r="G549" s="4">
        <v>45</v>
      </c>
      <c r="H549" s="8">
        <v>2.56</v>
      </c>
      <c r="I549" s="4">
        <v>0</v>
      </c>
    </row>
    <row r="550" spans="1:9" x14ac:dyDescent="0.2">
      <c r="A550" s="2">
        <v>17</v>
      </c>
      <c r="B550" s="1" t="s">
        <v>97</v>
      </c>
      <c r="C550" s="4">
        <v>62</v>
      </c>
      <c r="D550" s="8">
        <v>1.67</v>
      </c>
      <c r="E550" s="4">
        <v>17</v>
      </c>
      <c r="F550" s="8">
        <v>0.88</v>
      </c>
      <c r="G550" s="4">
        <v>45</v>
      </c>
      <c r="H550" s="8">
        <v>2.56</v>
      </c>
      <c r="I550" s="4">
        <v>0</v>
      </c>
    </row>
    <row r="551" spans="1:9" x14ac:dyDescent="0.2">
      <c r="A551" s="2">
        <v>18</v>
      </c>
      <c r="B551" s="1" t="s">
        <v>100</v>
      </c>
      <c r="C551" s="4">
        <v>60</v>
      </c>
      <c r="D551" s="8">
        <v>1.62</v>
      </c>
      <c r="E551" s="4">
        <v>11</v>
      </c>
      <c r="F551" s="8">
        <v>0.56999999999999995</v>
      </c>
      <c r="G551" s="4">
        <v>49</v>
      </c>
      <c r="H551" s="8">
        <v>2.78</v>
      </c>
      <c r="I551" s="4">
        <v>0</v>
      </c>
    </row>
    <row r="552" spans="1:9" x14ac:dyDescent="0.2">
      <c r="A552" s="2">
        <v>19</v>
      </c>
      <c r="B552" s="1" t="s">
        <v>106</v>
      </c>
      <c r="C552" s="4">
        <v>55</v>
      </c>
      <c r="D552" s="8">
        <v>1.48</v>
      </c>
      <c r="E552" s="4">
        <v>22</v>
      </c>
      <c r="F552" s="8">
        <v>1.1399999999999999</v>
      </c>
      <c r="G552" s="4">
        <v>33</v>
      </c>
      <c r="H552" s="8">
        <v>1.88</v>
      </c>
      <c r="I552" s="4">
        <v>0</v>
      </c>
    </row>
    <row r="553" spans="1:9" x14ac:dyDescent="0.2">
      <c r="A553" s="2">
        <v>20</v>
      </c>
      <c r="B553" s="1" t="s">
        <v>115</v>
      </c>
      <c r="C553" s="4">
        <v>47</v>
      </c>
      <c r="D553" s="8">
        <v>1.27</v>
      </c>
      <c r="E553" s="4">
        <v>22</v>
      </c>
      <c r="F553" s="8">
        <v>1.1399999999999999</v>
      </c>
      <c r="G553" s="4">
        <v>25</v>
      </c>
      <c r="H553" s="8">
        <v>1.42</v>
      </c>
      <c r="I553" s="4">
        <v>0</v>
      </c>
    </row>
    <row r="554" spans="1:9" x14ac:dyDescent="0.2">
      <c r="A554" s="2">
        <v>20</v>
      </c>
      <c r="B554" s="1" t="s">
        <v>116</v>
      </c>
      <c r="C554" s="4">
        <v>47</v>
      </c>
      <c r="D554" s="8">
        <v>1.27</v>
      </c>
      <c r="E554" s="4">
        <v>0</v>
      </c>
      <c r="F554" s="8">
        <v>0</v>
      </c>
      <c r="G554" s="4">
        <v>42</v>
      </c>
      <c r="H554" s="8">
        <v>2.39</v>
      </c>
      <c r="I554" s="4">
        <v>0</v>
      </c>
    </row>
    <row r="555" spans="1:9" x14ac:dyDescent="0.2">
      <c r="A555" s="2">
        <v>20</v>
      </c>
      <c r="B555" s="1" t="s">
        <v>122</v>
      </c>
      <c r="C555" s="4">
        <v>47</v>
      </c>
      <c r="D555" s="8">
        <v>1.27</v>
      </c>
      <c r="E555" s="4">
        <v>34</v>
      </c>
      <c r="F555" s="8">
        <v>1.76</v>
      </c>
      <c r="G555" s="4">
        <v>13</v>
      </c>
      <c r="H555" s="8">
        <v>0.74</v>
      </c>
      <c r="I555" s="4">
        <v>0</v>
      </c>
    </row>
    <row r="556" spans="1:9" x14ac:dyDescent="0.2">
      <c r="A556" s="1"/>
      <c r="C556" s="4"/>
      <c r="D556" s="8"/>
      <c r="E556" s="4"/>
      <c r="F556" s="8"/>
      <c r="G556" s="4"/>
      <c r="H556" s="8"/>
      <c r="I556" s="4"/>
    </row>
    <row r="557" spans="1:9" x14ac:dyDescent="0.2">
      <c r="A557" s="1" t="s">
        <v>25</v>
      </c>
      <c r="C557" s="4"/>
      <c r="D557" s="8"/>
      <c r="E557" s="4"/>
      <c r="F557" s="8"/>
      <c r="G557" s="4"/>
      <c r="H557" s="8"/>
      <c r="I557" s="4"/>
    </row>
    <row r="558" spans="1:9" x14ac:dyDescent="0.2">
      <c r="A558" s="2">
        <v>1</v>
      </c>
      <c r="B558" s="1" t="s">
        <v>111</v>
      </c>
      <c r="C558" s="4">
        <v>132</v>
      </c>
      <c r="D558" s="8">
        <v>8.5399999999999991</v>
      </c>
      <c r="E558" s="4">
        <v>111</v>
      </c>
      <c r="F558" s="8">
        <v>13.98</v>
      </c>
      <c r="G558" s="4">
        <v>21</v>
      </c>
      <c r="H558" s="8">
        <v>2.85</v>
      </c>
      <c r="I558" s="4">
        <v>0</v>
      </c>
    </row>
    <row r="559" spans="1:9" x14ac:dyDescent="0.2">
      <c r="A559" s="2">
        <v>2</v>
      </c>
      <c r="B559" s="1" t="s">
        <v>110</v>
      </c>
      <c r="C559" s="4">
        <v>127</v>
      </c>
      <c r="D559" s="8">
        <v>8.2100000000000009</v>
      </c>
      <c r="E559" s="4">
        <v>106</v>
      </c>
      <c r="F559" s="8">
        <v>13.35</v>
      </c>
      <c r="G559" s="4">
        <v>21</v>
      </c>
      <c r="H559" s="8">
        <v>2.85</v>
      </c>
      <c r="I559" s="4">
        <v>0</v>
      </c>
    </row>
    <row r="560" spans="1:9" x14ac:dyDescent="0.2">
      <c r="A560" s="2">
        <v>3</v>
      </c>
      <c r="B560" s="1" t="s">
        <v>105</v>
      </c>
      <c r="C560" s="4">
        <v>110</v>
      </c>
      <c r="D560" s="8">
        <v>7.12</v>
      </c>
      <c r="E560" s="4">
        <v>50</v>
      </c>
      <c r="F560" s="8">
        <v>6.3</v>
      </c>
      <c r="G560" s="4">
        <v>60</v>
      </c>
      <c r="H560" s="8">
        <v>8.15</v>
      </c>
      <c r="I560" s="4">
        <v>0</v>
      </c>
    </row>
    <row r="561" spans="1:9" x14ac:dyDescent="0.2">
      <c r="A561" s="2">
        <v>4</v>
      </c>
      <c r="B561" s="1" t="s">
        <v>107</v>
      </c>
      <c r="C561" s="4">
        <v>106</v>
      </c>
      <c r="D561" s="8">
        <v>6.86</v>
      </c>
      <c r="E561" s="4">
        <v>45</v>
      </c>
      <c r="F561" s="8">
        <v>5.67</v>
      </c>
      <c r="G561" s="4">
        <v>61</v>
      </c>
      <c r="H561" s="8">
        <v>8.2899999999999991</v>
      </c>
      <c r="I561" s="4">
        <v>0</v>
      </c>
    </row>
    <row r="562" spans="1:9" x14ac:dyDescent="0.2">
      <c r="A562" s="2">
        <v>5</v>
      </c>
      <c r="B562" s="1" t="s">
        <v>112</v>
      </c>
      <c r="C562" s="4">
        <v>97</v>
      </c>
      <c r="D562" s="8">
        <v>6.27</v>
      </c>
      <c r="E562" s="4">
        <v>84</v>
      </c>
      <c r="F562" s="8">
        <v>10.58</v>
      </c>
      <c r="G562" s="4">
        <v>12</v>
      </c>
      <c r="H562" s="8">
        <v>1.63</v>
      </c>
      <c r="I562" s="4">
        <v>0</v>
      </c>
    </row>
    <row r="563" spans="1:9" x14ac:dyDescent="0.2">
      <c r="A563" s="2">
        <v>6</v>
      </c>
      <c r="B563" s="1" t="s">
        <v>95</v>
      </c>
      <c r="C563" s="4">
        <v>79</v>
      </c>
      <c r="D563" s="8">
        <v>5.1100000000000003</v>
      </c>
      <c r="E563" s="4">
        <v>32</v>
      </c>
      <c r="F563" s="8">
        <v>4.03</v>
      </c>
      <c r="G563" s="4">
        <v>47</v>
      </c>
      <c r="H563" s="8">
        <v>6.39</v>
      </c>
      <c r="I563" s="4">
        <v>0</v>
      </c>
    </row>
    <row r="564" spans="1:9" x14ac:dyDescent="0.2">
      <c r="A564" s="2">
        <v>7</v>
      </c>
      <c r="B564" s="1" t="s">
        <v>94</v>
      </c>
      <c r="C564" s="4">
        <v>66</v>
      </c>
      <c r="D564" s="8">
        <v>4.2699999999999996</v>
      </c>
      <c r="E564" s="4">
        <v>16</v>
      </c>
      <c r="F564" s="8">
        <v>2.02</v>
      </c>
      <c r="G564" s="4">
        <v>50</v>
      </c>
      <c r="H564" s="8">
        <v>6.79</v>
      </c>
      <c r="I564" s="4">
        <v>0</v>
      </c>
    </row>
    <row r="565" spans="1:9" x14ac:dyDescent="0.2">
      <c r="A565" s="2">
        <v>8</v>
      </c>
      <c r="B565" s="1" t="s">
        <v>103</v>
      </c>
      <c r="C565" s="4">
        <v>64</v>
      </c>
      <c r="D565" s="8">
        <v>4.1399999999999997</v>
      </c>
      <c r="E565" s="4">
        <v>41</v>
      </c>
      <c r="F565" s="8">
        <v>5.16</v>
      </c>
      <c r="G565" s="4">
        <v>23</v>
      </c>
      <c r="H565" s="8">
        <v>3.13</v>
      </c>
      <c r="I565" s="4">
        <v>0</v>
      </c>
    </row>
    <row r="566" spans="1:9" x14ac:dyDescent="0.2">
      <c r="A566" s="2">
        <v>9</v>
      </c>
      <c r="B566" s="1" t="s">
        <v>113</v>
      </c>
      <c r="C566" s="4">
        <v>60</v>
      </c>
      <c r="D566" s="8">
        <v>3.88</v>
      </c>
      <c r="E566" s="4">
        <v>55</v>
      </c>
      <c r="F566" s="8">
        <v>6.93</v>
      </c>
      <c r="G566" s="4">
        <v>5</v>
      </c>
      <c r="H566" s="8">
        <v>0.68</v>
      </c>
      <c r="I566" s="4">
        <v>0</v>
      </c>
    </row>
    <row r="567" spans="1:9" x14ac:dyDescent="0.2">
      <c r="A567" s="2">
        <v>10</v>
      </c>
      <c r="B567" s="1" t="s">
        <v>96</v>
      </c>
      <c r="C567" s="4">
        <v>57</v>
      </c>
      <c r="D567" s="8">
        <v>3.69</v>
      </c>
      <c r="E567" s="4">
        <v>11</v>
      </c>
      <c r="F567" s="8">
        <v>1.39</v>
      </c>
      <c r="G567" s="4">
        <v>46</v>
      </c>
      <c r="H567" s="8">
        <v>6.25</v>
      </c>
      <c r="I567" s="4">
        <v>0</v>
      </c>
    </row>
    <row r="568" spans="1:9" x14ac:dyDescent="0.2">
      <c r="A568" s="2">
        <v>11</v>
      </c>
      <c r="B568" s="1" t="s">
        <v>104</v>
      </c>
      <c r="C568" s="4">
        <v>56</v>
      </c>
      <c r="D568" s="8">
        <v>3.62</v>
      </c>
      <c r="E568" s="4">
        <v>32</v>
      </c>
      <c r="F568" s="8">
        <v>4.03</v>
      </c>
      <c r="G568" s="4">
        <v>24</v>
      </c>
      <c r="H568" s="8">
        <v>3.26</v>
      </c>
      <c r="I568" s="4">
        <v>0</v>
      </c>
    </row>
    <row r="569" spans="1:9" x14ac:dyDescent="0.2">
      <c r="A569" s="2">
        <v>12</v>
      </c>
      <c r="B569" s="1" t="s">
        <v>102</v>
      </c>
      <c r="C569" s="4">
        <v>48</v>
      </c>
      <c r="D569" s="8">
        <v>3.1</v>
      </c>
      <c r="E569" s="4">
        <v>19</v>
      </c>
      <c r="F569" s="8">
        <v>2.39</v>
      </c>
      <c r="G569" s="4">
        <v>29</v>
      </c>
      <c r="H569" s="8">
        <v>3.94</v>
      </c>
      <c r="I569" s="4">
        <v>0</v>
      </c>
    </row>
    <row r="570" spans="1:9" x14ac:dyDescent="0.2">
      <c r="A570" s="2">
        <v>13</v>
      </c>
      <c r="B570" s="1" t="s">
        <v>97</v>
      </c>
      <c r="C570" s="4">
        <v>42</v>
      </c>
      <c r="D570" s="8">
        <v>2.72</v>
      </c>
      <c r="E570" s="4">
        <v>9</v>
      </c>
      <c r="F570" s="8">
        <v>1.1299999999999999</v>
      </c>
      <c r="G570" s="4">
        <v>33</v>
      </c>
      <c r="H570" s="8">
        <v>4.4800000000000004</v>
      </c>
      <c r="I570" s="4">
        <v>0</v>
      </c>
    </row>
    <row r="571" spans="1:9" x14ac:dyDescent="0.2">
      <c r="A571" s="2">
        <v>14</v>
      </c>
      <c r="B571" s="1" t="s">
        <v>108</v>
      </c>
      <c r="C571" s="4">
        <v>35</v>
      </c>
      <c r="D571" s="8">
        <v>2.2599999999999998</v>
      </c>
      <c r="E571" s="4">
        <v>21</v>
      </c>
      <c r="F571" s="8">
        <v>2.64</v>
      </c>
      <c r="G571" s="4">
        <v>14</v>
      </c>
      <c r="H571" s="8">
        <v>1.9</v>
      </c>
      <c r="I571" s="4">
        <v>0</v>
      </c>
    </row>
    <row r="572" spans="1:9" x14ac:dyDescent="0.2">
      <c r="A572" s="2">
        <v>15</v>
      </c>
      <c r="B572" s="1" t="s">
        <v>125</v>
      </c>
      <c r="C572" s="4">
        <v>31</v>
      </c>
      <c r="D572" s="8">
        <v>2.0099999999999998</v>
      </c>
      <c r="E572" s="4">
        <v>21</v>
      </c>
      <c r="F572" s="8">
        <v>2.64</v>
      </c>
      <c r="G572" s="4">
        <v>10</v>
      </c>
      <c r="H572" s="8">
        <v>1.36</v>
      </c>
      <c r="I572" s="4">
        <v>0</v>
      </c>
    </row>
    <row r="573" spans="1:9" x14ac:dyDescent="0.2">
      <c r="A573" s="2">
        <v>16</v>
      </c>
      <c r="B573" s="1" t="s">
        <v>100</v>
      </c>
      <c r="C573" s="4">
        <v>26</v>
      </c>
      <c r="D573" s="8">
        <v>1.68</v>
      </c>
      <c r="E573" s="4">
        <v>6</v>
      </c>
      <c r="F573" s="8">
        <v>0.76</v>
      </c>
      <c r="G573" s="4">
        <v>20</v>
      </c>
      <c r="H573" s="8">
        <v>2.72</v>
      </c>
      <c r="I573" s="4">
        <v>0</v>
      </c>
    </row>
    <row r="574" spans="1:9" x14ac:dyDescent="0.2">
      <c r="A574" s="2">
        <v>17</v>
      </c>
      <c r="B574" s="1" t="s">
        <v>116</v>
      </c>
      <c r="C574" s="4">
        <v>24</v>
      </c>
      <c r="D574" s="8">
        <v>1.55</v>
      </c>
      <c r="E574" s="4">
        <v>0</v>
      </c>
      <c r="F574" s="8">
        <v>0</v>
      </c>
      <c r="G574" s="4">
        <v>21</v>
      </c>
      <c r="H574" s="8">
        <v>2.85</v>
      </c>
      <c r="I574" s="4">
        <v>3</v>
      </c>
    </row>
    <row r="575" spans="1:9" x14ac:dyDescent="0.2">
      <c r="A575" s="2">
        <v>18</v>
      </c>
      <c r="B575" s="1" t="s">
        <v>99</v>
      </c>
      <c r="C575" s="4">
        <v>23</v>
      </c>
      <c r="D575" s="8">
        <v>1.49</v>
      </c>
      <c r="E575" s="4">
        <v>5</v>
      </c>
      <c r="F575" s="8">
        <v>0.63</v>
      </c>
      <c r="G575" s="4">
        <v>18</v>
      </c>
      <c r="H575" s="8">
        <v>2.4500000000000002</v>
      </c>
      <c r="I575" s="4">
        <v>0</v>
      </c>
    </row>
    <row r="576" spans="1:9" x14ac:dyDescent="0.2">
      <c r="A576" s="2">
        <v>18</v>
      </c>
      <c r="B576" s="1" t="s">
        <v>101</v>
      </c>
      <c r="C576" s="4">
        <v>23</v>
      </c>
      <c r="D576" s="8">
        <v>1.49</v>
      </c>
      <c r="E576" s="4">
        <v>10</v>
      </c>
      <c r="F576" s="8">
        <v>1.26</v>
      </c>
      <c r="G576" s="4">
        <v>13</v>
      </c>
      <c r="H576" s="8">
        <v>1.77</v>
      </c>
      <c r="I576" s="4">
        <v>0</v>
      </c>
    </row>
    <row r="577" spans="1:9" x14ac:dyDescent="0.2">
      <c r="A577" s="2">
        <v>20</v>
      </c>
      <c r="B577" s="1" t="s">
        <v>109</v>
      </c>
      <c r="C577" s="4">
        <v>21</v>
      </c>
      <c r="D577" s="8">
        <v>1.36</v>
      </c>
      <c r="E577" s="4">
        <v>11</v>
      </c>
      <c r="F577" s="8">
        <v>1.39</v>
      </c>
      <c r="G577" s="4">
        <v>10</v>
      </c>
      <c r="H577" s="8">
        <v>1.36</v>
      </c>
      <c r="I577" s="4">
        <v>0</v>
      </c>
    </row>
    <row r="578" spans="1:9" x14ac:dyDescent="0.2">
      <c r="A578" s="1"/>
      <c r="C578" s="4"/>
      <c r="D578" s="8"/>
      <c r="E578" s="4"/>
      <c r="F578" s="8"/>
      <c r="G578" s="4"/>
      <c r="H578" s="8"/>
      <c r="I578" s="4"/>
    </row>
    <row r="579" spans="1:9" x14ac:dyDescent="0.2">
      <c r="A579" s="1" t="s">
        <v>26</v>
      </c>
      <c r="C579" s="4"/>
      <c r="D579" s="8"/>
      <c r="E579" s="4"/>
      <c r="F579" s="8"/>
      <c r="G579" s="4"/>
      <c r="H579" s="8"/>
      <c r="I579" s="4"/>
    </row>
    <row r="580" spans="1:9" x14ac:dyDescent="0.2">
      <c r="A580" s="2">
        <v>1</v>
      </c>
      <c r="B580" s="1" t="s">
        <v>111</v>
      </c>
      <c r="C580" s="4">
        <v>152</v>
      </c>
      <c r="D580" s="8">
        <v>8.5399999999999991</v>
      </c>
      <c r="E580" s="4">
        <v>134</v>
      </c>
      <c r="F580" s="8">
        <v>13.14</v>
      </c>
      <c r="G580" s="4">
        <v>18</v>
      </c>
      <c r="H580" s="8">
        <v>2.41</v>
      </c>
      <c r="I580" s="4">
        <v>0</v>
      </c>
    </row>
    <row r="581" spans="1:9" x14ac:dyDescent="0.2">
      <c r="A581" s="2">
        <v>2</v>
      </c>
      <c r="B581" s="1" t="s">
        <v>105</v>
      </c>
      <c r="C581" s="4">
        <v>112</v>
      </c>
      <c r="D581" s="8">
        <v>6.29</v>
      </c>
      <c r="E581" s="4">
        <v>70</v>
      </c>
      <c r="F581" s="8">
        <v>6.86</v>
      </c>
      <c r="G581" s="4">
        <v>42</v>
      </c>
      <c r="H581" s="8">
        <v>5.61</v>
      </c>
      <c r="I581" s="4">
        <v>0</v>
      </c>
    </row>
    <row r="582" spans="1:9" x14ac:dyDescent="0.2">
      <c r="A582" s="2">
        <v>3</v>
      </c>
      <c r="B582" s="1" t="s">
        <v>95</v>
      </c>
      <c r="C582" s="4">
        <v>106</v>
      </c>
      <c r="D582" s="8">
        <v>5.96</v>
      </c>
      <c r="E582" s="4">
        <v>71</v>
      </c>
      <c r="F582" s="8">
        <v>6.96</v>
      </c>
      <c r="G582" s="4">
        <v>35</v>
      </c>
      <c r="H582" s="8">
        <v>4.68</v>
      </c>
      <c r="I582" s="4">
        <v>0</v>
      </c>
    </row>
    <row r="583" spans="1:9" x14ac:dyDescent="0.2">
      <c r="A583" s="2">
        <v>3</v>
      </c>
      <c r="B583" s="1" t="s">
        <v>110</v>
      </c>
      <c r="C583" s="4">
        <v>106</v>
      </c>
      <c r="D583" s="8">
        <v>5.96</v>
      </c>
      <c r="E583" s="4">
        <v>96</v>
      </c>
      <c r="F583" s="8">
        <v>9.41</v>
      </c>
      <c r="G583" s="4">
        <v>10</v>
      </c>
      <c r="H583" s="8">
        <v>1.34</v>
      </c>
      <c r="I583" s="4">
        <v>0</v>
      </c>
    </row>
    <row r="584" spans="1:9" x14ac:dyDescent="0.2">
      <c r="A584" s="2">
        <v>5</v>
      </c>
      <c r="B584" s="1" t="s">
        <v>107</v>
      </c>
      <c r="C584" s="4">
        <v>101</v>
      </c>
      <c r="D584" s="8">
        <v>5.67</v>
      </c>
      <c r="E584" s="4">
        <v>41</v>
      </c>
      <c r="F584" s="8">
        <v>4.0199999999999996</v>
      </c>
      <c r="G584" s="4">
        <v>60</v>
      </c>
      <c r="H584" s="8">
        <v>8.02</v>
      </c>
      <c r="I584" s="4">
        <v>0</v>
      </c>
    </row>
    <row r="585" spans="1:9" x14ac:dyDescent="0.2">
      <c r="A585" s="2">
        <v>6</v>
      </c>
      <c r="B585" s="1" t="s">
        <v>94</v>
      </c>
      <c r="C585" s="4">
        <v>99</v>
      </c>
      <c r="D585" s="8">
        <v>5.56</v>
      </c>
      <c r="E585" s="4">
        <v>33</v>
      </c>
      <c r="F585" s="8">
        <v>3.24</v>
      </c>
      <c r="G585" s="4">
        <v>66</v>
      </c>
      <c r="H585" s="8">
        <v>8.82</v>
      </c>
      <c r="I585" s="4">
        <v>0</v>
      </c>
    </row>
    <row r="586" spans="1:9" x14ac:dyDescent="0.2">
      <c r="A586" s="2">
        <v>7</v>
      </c>
      <c r="B586" s="1" t="s">
        <v>112</v>
      </c>
      <c r="C586" s="4">
        <v>81</v>
      </c>
      <c r="D586" s="8">
        <v>4.55</v>
      </c>
      <c r="E586" s="4">
        <v>62</v>
      </c>
      <c r="F586" s="8">
        <v>6.08</v>
      </c>
      <c r="G586" s="4">
        <v>13</v>
      </c>
      <c r="H586" s="8">
        <v>1.74</v>
      </c>
      <c r="I586" s="4">
        <v>0</v>
      </c>
    </row>
    <row r="587" spans="1:9" x14ac:dyDescent="0.2">
      <c r="A587" s="2">
        <v>8</v>
      </c>
      <c r="B587" s="1" t="s">
        <v>103</v>
      </c>
      <c r="C587" s="4">
        <v>73</v>
      </c>
      <c r="D587" s="8">
        <v>4.0999999999999996</v>
      </c>
      <c r="E587" s="4">
        <v>50</v>
      </c>
      <c r="F587" s="8">
        <v>4.9000000000000004</v>
      </c>
      <c r="G587" s="4">
        <v>23</v>
      </c>
      <c r="H587" s="8">
        <v>3.07</v>
      </c>
      <c r="I587" s="4">
        <v>0</v>
      </c>
    </row>
    <row r="588" spans="1:9" x14ac:dyDescent="0.2">
      <c r="A588" s="2">
        <v>9</v>
      </c>
      <c r="B588" s="1" t="s">
        <v>96</v>
      </c>
      <c r="C588" s="4">
        <v>64</v>
      </c>
      <c r="D588" s="8">
        <v>3.6</v>
      </c>
      <c r="E588" s="4">
        <v>25</v>
      </c>
      <c r="F588" s="8">
        <v>2.4500000000000002</v>
      </c>
      <c r="G588" s="4">
        <v>39</v>
      </c>
      <c r="H588" s="8">
        <v>5.21</v>
      </c>
      <c r="I588" s="4">
        <v>0</v>
      </c>
    </row>
    <row r="589" spans="1:9" x14ac:dyDescent="0.2">
      <c r="A589" s="2">
        <v>10</v>
      </c>
      <c r="B589" s="1" t="s">
        <v>113</v>
      </c>
      <c r="C589" s="4">
        <v>61</v>
      </c>
      <c r="D589" s="8">
        <v>3.43</v>
      </c>
      <c r="E589" s="4">
        <v>56</v>
      </c>
      <c r="F589" s="8">
        <v>5.49</v>
      </c>
      <c r="G589" s="4">
        <v>5</v>
      </c>
      <c r="H589" s="8">
        <v>0.67</v>
      </c>
      <c r="I589" s="4">
        <v>0</v>
      </c>
    </row>
    <row r="590" spans="1:9" x14ac:dyDescent="0.2">
      <c r="A590" s="2">
        <v>11</v>
      </c>
      <c r="B590" s="1" t="s">
        <v>98</v>
      </c>
      <c r="C590" s="4">
        <v>58</v>
      </c>
      <c r="D590" s="8">
        <v>3.26</v>
      </c>
      <c r="E590" s="4">
        <v>25</v>
      </c>
      <c r="F590" s="8">
        <v>2.4500000000000002</v>
      </c>
      <c r="G590" s="4">
        <v>33</v>
      </c>
      <c r="H590" s="8">
        <v>4.41</v>
      </c>
      <c r="I590" s="4">
        <v>0</v>
      </c>
    </row>
    <row r="591" spans="1:9" x14ac:dyDescent="0.2">
      <c r="A591" s="2">
        <v>11</v>
      </c>
      <c r="B591" s="1" t="s">
        <v>104</v>
      </c>
      <c r="C591" s="4">
        <v>58</v>
      </c>
      <c r="D591" s="8">
        <v>3.26</v>
      </c>
      <c r="E591" s="4">
        <v>43</v>
      </c>
      <c r="F591" s="8">
        <v>4.22</v>
      </c>
      <c r="G591" s="4">
        <v>15</v>
      </c>
      <c r="H591" s="8">
        <v>2.0099999999999998</v>
      </c>
      <c r="I591" s="4">
        <v>0</v>
      </c>
    </row>
    <row r="592" spans="1:9" x14ac:dyDescent="0.2">
      <c r="A592" s="2">
        <v>13</v>
      </c>
      <c r="B592" s="1" t="s">
        <v>97</v>
      </c>
      <c r="C592" s="4">
        <v>54</v>
      </c>
      <c r="D592" s="8">
        <v>3.03</v>
      </c>
      <c r="E592" s="4">
        <v>14</v>
      </c>
      <c r="F592" s="8">
        <v>1.37</v>
      </c>
      <c r="G592" s="4">
        <v>40</v>
      </c>
      <c r="H592" s="8">
        <v>5.35</v>
      </c>
      <c r="I592" s="4">
        <v>0</v>
      </c>
    </row>
    <row r="593" spans="1:9" x14ac:dyDescent="0.2">
      <c r="A593" s="2">
        <v>14</v>
      </c>
      <c r="B593" s="1" t="s">
        <v>126</v>
      </c>
      <c r="C593" s="4">
        <v>39</v>
      </c>
      <c r="D593" s="8">
        <v>2.19</v>
      </c>
      <c r="E593" s="4">
        <v>20</v>
      </c>
      <c r="F593" s="8">
        <v>1.96</v>
      </c>
      <c r="G593" s="4">
        <v>19</v>
      </c>
      <c r="H593" s="8">
        <v>2.54</v>
      </c>
      <c r="I593" s="4">
        <v>0</v>
      </c>
    </row>
    <row r="594" spans="1:9" x14ac:dyDescent="0.2">
      <c r="A594" s="2">
        <v>15</v>
      </c>
      <c r="B594" s="1" t="s">
        <v>124</v>
      </c>
      <c r="C594" s="4">
        <v>38</v>
      </c>
      <c r="D594" s="8">
        <v>2.13</v>
      </c>
      <c r="E594" s="4">
        <v>16</v>
      </c>
      <c r="F594" s="8">
        <v>1.57</v>
      </c>
      <c r="G594" s="4">
        <v>22</v>
      </c>
      <c r="H594" s="8">
        <v>2.94</v>
      </c>
      <c r="I594" s="4">
        <v>0</v>
      </c>
    </row>
    <row r="595" spans="1:9" x14ac:dyDescent="0.2">
      <c r="A595" s="2">
        <v>16</v>
      </c>
      <c r="B595" s="1" t="s">
        <v>108</v>
      </c>
      <c r="C595" s="4">
        <v>35</v>
      </c>
      <c r="D595" s="8">
        <v>1.97</v>
      </c>
      <c r="E595" s="4">
        <v>25</v>
      </c>
      <c r="F595" s="8">
        <v>2.4500000000000002</v>
      </c>
      <c r="G595" s="4">
        <v>10</v>
      </c>
      <c r="H595" s="8">
        <v>1.34</v>
      </c>
      <c r="I595" s="4">
        <v>0</v>
      </c>
    </row>
    <row r="596" spans="1:9" x14ac:dyDescent="0.2">
      <c r="A596" s="2">
        <v>17</v>
      </c>
      <c r="B596" s="1" t="s">
        <v>109</v>
      </c>
      <c r="C596" s="4">
        <v>34</v>
      </c>
      <c r="D596" s="8">
        <v>1.91</v>
      </c>
      <c r="E596" s="4">
        <v>29</v>
      </c>
      <c r="F596" s="8">
        <v>2.84</v>
      </c>
      <c r="G596" s="4">
        <v>5</v>
      </c>
      <c r="H596" s="8">
        <v>0.67</v>
      </c>
      <c r="I596" s="4">
        <v>0</v>
      </c>
    </row>
    <row r="597" spans="1:9" x14ac:dyDescent="0.2">
      <c r="A597" s="2">
        <v>18</v>
      </c>
      <c r="B597" s="1" t="s">
        <v>99</v>
      </c>
      <c r="C597" s="4">
        <v>33</v>
      </c>
      <c r="D597" s="8">
        <v>1.85</v>
      </c>
      <c r="E597" s="4">
        <v>9</v>
      </c>
      <c r="F597" s="8">
        <v>0.88</v>
      </c>
      <c r="G597" s="4">
        <v>24</v>
      </c>
      <c r="H597" s="8">
        <v>3.21</v>
      </c>
      <c r="I597" s="4">
        <v>0</v>
      </c>
    </row>
    <row r="598" spans="1:9" x14ac:dyDescent="0.2">
      <c r="A598" s="2">
        <v>19</v>
      </c>
      <c r="B598" s="1" t="s">
        <v>102</v>
      </c>
      <c r="C598" s="4">
        <v>32</v>
      </c>
      <c r="D598" s="8">
        <v>1.8</v>
      </c>
      <c r="E598" s="4">
        <v>25</v>
      </c>
      <c r="F598" s="8">
        <v>2.4500000000000002</v>
      </c>
      <c r="G598" s="4">
        <v>7</v>
      </c>
      <c r="H598" s="8">
        <v>0.94</v>
      </c>
      <c r="I598" s="4">
        <v>0</v>
      </c>
    </row>
    <row r="599" spans="1:9" x14ac:dyDescent="0.2">
      <c r="A599" s="2">
        <v>20</v>
      </c>
      <c r="B599" s="1" t="s">
        <v>122</v>
      </c>
      <c r="C599" s="4">
        <v>31</v>
      </c>
      <c r="D599" s="8">
        <v>1.74</v>
      </c>
      <c r="E599" s="4">
        <v>27</v>
      </c>
      <c r="F599" s="8">
        <v>2.65</v>
      </c>
      <c r="G599" s="4">
        <v>4</v>
      </c>
      <c r="H599" s="8">
        <v>0.53</v>
      </c>
      <c r="I599" s="4">
        <v>0</v>
      </c>
    </row>
    <row r="600" spans="1:9" x14ac:dyDescent="0.2">
      <c r="A600" s="1"/>
      <c r="C600" s="4"/>
      <c r="D600" s="8"/>
      <c r="E600" s="4"/>
      <c r="F600" s="8"/>
      <c r="G600" s="4"/>
      <c r="H600" s="8"/>
      <c r="I600" s="4"/>
    </row>
    <row r="601" spans="1:9" x14ac:dyDescent="0.2">
      <c r="A601" s="1" t="s">
        <v>27</v>
      </c>
      <c r="C601" s="4"/>
      <c r="D601" s="8"/>
      <c r="E601" s="4"/>
      <c r="F601" s="8"/>
      <c r="G601" s="4"/>
      <c r="H601" s="8"/>
      <c r="I601" s="4"/>
    </row>
    <row r="602" spans="1:9" x14ac:dyDescent="0.2">
      <c r="A602" s="2">
        <v>1</v>
      </c>
      <c r="B602" s="1" t="s">
        <v>110</v>
      </c>
      <c r="C602" s="4">
        <v>300</v>
      </c>
      <c r="D602" s="8">
        <v>11.3</v>
      </c>
      <c r="E602" s="4">
        <v>239</v>
      </c>
      <c r="F602" s="8">
        <v>20.25</v>
      </c>
      <c r="G602" s="4">
        <v>61</v>
      </c>
      <c r="H602" s="8">
        <v>4.1500000000000004</v>
      </c>
      <c r="I602" s="4">
        <v>0</v>
      </c>
    </row>
    <row r="603" spans="1:9" x14ac:dyDescent="0.2">
      <c r="A603" s="2">
        <v>2</v>
      </c>
      <c r="B603" s="1" t="s">
        <v>111</v>
      </c>
      <c r="C603" s="4">
        <v>253</v>
      </c>
      <c r="D603" s="8">
        <v>9.5299999999999994</v>
      </c>
      <c r="E603" s="4">
        <v>197</v>
      </c>
      <c r="F603" s="8">
        <v>16.690000000000001</v>
      </c>
      <c r="G603" s="4">
        <v>56</v>
      </c>
      <c r="H603" s="8">
        <v>3.81</v>
      </c>
      <c r="I603" s="4">
        <v>0</v>
      </c>
    </row>
    <row r="604" spans="1:9" x14ac:dyDescent="0.2">
      <c r="A604" s="2">
        <v>3</v>
      </c>
      <c r="B604" s="1" t="s">
        <v>107</v>
      </c>
      <c r="C604" s="4">
        <v>221</v>
      </c>
      <c r="D604" s="8">
        <v>8.32</v>
      </c>
      <c r="E604" s="4">
        <v>71</v>
      </c>
      <c r="F604" s="8">
        <v>6.02</v>
      </c>
      <c r="G604" s="4">
        <v>150</v>
      </c>
      <c r="H604" s="8">
        <v>10.199999999999999</v>
      </c>
      <c r="I604" s="4">
        <v>0</v>
      </c>
    </row>
    <row r="605" spans="1:9" x14ac:dyDescent="0.2">
      <c r="A605" s="2">
        <v>4</v>
      </c>
      <c r="B605" s="1" t="s">
        <v>105</v>
      </c>
      <c r="C605" s="4">
        <v>156</v>
      </c>
      <c r="D605" s="8">
        <v>5.88</v>
      </c>
      <c r="E605" s="4">
        <v>77</v>
      </c>
      <c r="F605" s="8">
        <v>6.53</v>
      </c>
      <c r="G605" s="4">
        <v>79</v>
      </c>
      <c r="H605" s="8">
        <v>5.37</v>
      </c>
      <c r="I605" s="4">
        <v>0</v>
      </c>
    </row>
    <row r="606" spans="1:9" x14ac:dyDescent="0.2">
      <c r="A606" s="2">
        <v>5</v>
      </c>
      <c r="B606" s="1" t="s">
        <v>112</v>
      </c>
      <c r="C606" s="4">
        <v>120</v>
      </c>
      <c r="D606" s="8">
        <v>4.5199999999999996</v>
      </c>
      <c r="E606" s="4">
        <v>85</v>
      </c>
      <c r="F606" s="8">
        <v>7.2</v>
      </c>
      <c r="G606" s="4">
        <v>31</v>
      </c>
      <c r="H606" s="8">
        <v>2.11</v>
      </c>
      <c r="I606" s="4">
        <v>1</v>
      </c>
    </row>
    <row r="607" spans="1:9" x14ac:dyDescent="0.2">
      <c r="A607" s="2">
        <v>6</v>
      </c>
      <c r="B607" s="1" t="s">
        <v>95</v>
      </c>
      <c r="C607" s="4">
        <v>113</v>
      </c>
      <c r="D607" s="8">
        <v>4.26</v>
      </c>
      <c r="E607" s="4">
        <v>42</v>
      </c>
      <c r="F607" s="8">
        <v>3.56</v>
      </c>
      <c r="G607" s="4">
        <v>71</v>
      </c>
      <c r="H607" s="8">
        <v>4.83</v>
      </c>
      <c r="I607" s="4">
        <v>0</v>
      </c>
    </row>
    <row r="608" spans="1:9" x14ac:dyDescent="0.2">
      <c r="A608" s="2">
        <v>7</v>
      </c>
      <c r="B608" s="1" t="s">
        <v>94</v>
      </c>
      <c r="C608" s="4">
        <v>106</v>
      </c>
      <c r="D608" s="8">
        <v>3.99</v>
      </c>
      <c r="E608" s="4">
        <v>16</v>
      </c>
      <c r="F608" s="8">
        <v>1.36</v>
      </c>
      <c r="G608" s="4">
        <v>90</v>
      </c>
      <c r="H608" s="8">
        <v>6.12</v>
      </c>
      <c r="I608" s="4">
        <v>0</v>
      </c>
    </row>
    <row r="609" spans="1:9" x14ac:dyDescent="0.2">
      <c r="A609" s="2">
        <v>8</v>
      </c>
      <c r="B609" s="1" t="s">
        <v>96</v>
      </c>
      <c r="C609" s="4">
        <v>87</v>
      </c>
      <c r="D609" s="8">
        <v>3.28</v>
      </c>
      <c r="E609" s="4">
        <v>12</v>
      </c>
      <c r="F609" s="8">
        <v>1.02</v>
      </c>
      <c r="G609" s="4">
        <v>75</v>
      </c>
      <c r="H609" s="8">
        <v>5.0999999999999996</v>
      </c>
      <c r="I609" s="4">
        <v>0</v>
      </c>
    </row>
    <row r="610" spans="1:9" x14ac:dyDescent="0.2">
      <c r="A610" s="2">
        <v>8</v>
      </c>
      <c r="B610" s="1" t="s">
        <v>104</v>
      </c>
      <c r="C610" s="4">
        <v>87</v>
      </c>
      <c r="D610" s="8">
        <v>3.28</v>
      </c>
      <c r="E610" s="4">
        <v>43</v>
      </c>
      <c r="F610" s="8">
        <v>3.64</v>
      </c>
      <c r="G610" s="4">
        <v>44</v>
      </c>
      <c r="H610" s="8">
        <v>2.99</v>
      </c>
      <c r="I610" s="4">
        <v>0</v>
      </c>
    </row>
    <row r="611" spans="1:9" x14ac:dyDescent="0.2">
      <c r="A611" s="2">
        <v>10</v>
      </c>
      <c r="B611" s="1" t="s">
        <v>103</v>
      </c>
      <c r="C611" s="4">
        <v>85</v>
      </c>
      <c r="D611" s="8">
        <v>3.2</v>
      </c>
      <c r="E611" s="4">
        <v>40</v>
      </c>
      <c r="F611" s="8">
        <v>3.39</v>
      </c>
      <c r="G611" s="4">
        <v>45</v>
      </c>
      <c r="H611" s="8">
        <v>3.06</v>
      </c>
      <c r="I611" s="4">
        <v>0</v>
      </c>
    </row>
    <row r="612" spans="1:9" x14ac:dyDescent="0.2">
      <c r="A612" s="2">
        <v>11</v>
      </c>
      <c r="B612" s="1" t="s">
        <v>113</v>
      </c>
      <c r="C612" s="4">
        <v>83</v>
      </c>
      <c r="D612" s="8">
        <v>3.13</v>
      </c>
      <c r="E612" s="4">
        <v>71</v>
      </c>
      <c r="F612" s="8">
        <v>6.02</v>
      </c>
      <c r="G612" s="4">
        <v>12</v>
      </c>
      <c r="H612" s="8">
        <v>0.82</v>
      </c>
      <c r="I612" s="4">
        <v>0</v>
      </c>
    </row>
    <row r="613" spans="1:9" x14ac:dyDescent="0.2">
      <c r="A613" s="2">
        <v>12</v>
      </c>
      <c r="B613" s="1" t="s">
        <v>108</v>
      </c>
      <c r="C613" s="4">
        <v>82</v>
      </c>
      <c r="D613" s="8">
        <v>3.09</v>
      </c>
      <c r="E613" s="4">
        <v>45</v>
      </c>
      <c r="F613" s="8">
        <v>3.81</v>
      </c>
      <c r="G613" s="4">
        <v>37</v>
      </c>
      <c r="H613" s="8">
        <v>2.52</v>
      </c>
      <c r="I613" s="4">
        <v>0</v>
      </c>
    </row>
    <row r="614" spans="1:9" x14ac:dyDescent="0.2">
      <c r="A614" s="2">
        <v>13</v>
      </c>
      <c r="B614" s="1" t="s">
        <v>98</v>
      </c>
      <c r="C614" s="4">
        <v>75</v>
      </c>
      <c r="D614" s="8">
        <v>2.82</v>
      </c>
      <c r="E614" s="4">
        <v>18</v>
      </c>
      <c r="F614" s="8">
        <v>1.53</v>
      </c>
      <c r="G614" s="4">
        <v>57</v>
      </c>
      <c r="H614" s="8">
        <v>3.88</v>
      </c>
      <c r="I614" s="4">
        <v>0</v>
      </c>
    </row>
    <row r="615" spans="1:9" x14ac:dyDescent="0.2">
      <c r="A615" s="2">
        <v>14</v>
      </c>
      <c r="B615" s="1" t="s">
        <v>100</v>
      </c>
      <c r="C615" s="4">
        <v>64</v>
      </c>
      <c r="D615" s="8">
        <v>2.41</v>
      </c>
      <c r="E615" s="4">
        <v>10</v>
      </c>
      <c r="F615" s="8">
        <v>0.85</v>
      </c>
      <c r="G615" s="4">
        <v>54</v>
      </c>
      <c r="H615" s="8">
        <v>3.67</v>
      </c>
      <c r="I615" s="4">
        <v>0</v>
      </c>
    </row>
    <row r="616" spans="1:9" x14ac:dyDescent="0.2">
      <c r="A616" s="2">
        <v>15</v>
      </c>
      <c r="B616" s="1" t="s">
        <v>109</v>
      </c>
      <c r="C616" s="4">
        <v>55</v>
      </c>
      <c r="D616" s="8">
        <v>2.0699999999999998</v>
      </c>
      <c r="E616" s="4">
        <v>21</v>
      </c>
      <c r="F616" s="8">
        <v>1.78</v>
      </c>
      <c r="G616" s="4">
        <v>34</v>
      </c>
      <c r="H616" s="8">
        <v>2.31</v>
      </c>
      <c r="I616" s="4">
        <v>0</v>
      </c>
    </row>
    <row r="617" spans="1:9" x14ac:dyDescent="0.2">
      <c r="A617" s="2">
        <v>16</v>
      </c>
      <c r="B617" s="1" t="s">
        <v>97</v>
      </c>
      <c r="C617" s="4">
        <v>53</v>
      </c>
      <c r="D617" s="8">
        <v>2</v>
      </c>
      <c r="E617" s="4">
        <v>10</v>
      </c>
      <c r="F617" s="8">
        <v>0.85</v>
      </c>
      <c r="G617" s="4">
        <v>43</v>
      </c>
      <c r="H617" s="8">
        <v>2.93</v>
      </c>
      <c r="I617" s="4">
        <v>0</v>
      </c>
    </row>
    <row r="618" spans="1:9" x14ac:dyDescent="0.2">
      <c r="A618" s="2">
        <v>17</v>
      </c>
      <c r="B618" s="1" t="s">
        <v>124</v>
      </c>
      <c r="C618" s="4">
        <v>46</v>
      </c>
      <c r="D618" s="8">
        <v>1.73</v>
      </c>
      <c r="E618" s="4">
        <v>13</v>
      </c>
      <c r="F618" s="8">
        <v>1.1000000000000001</v>
      </c>
      <c r="G618" s="4">
        <v>33</v>
      </c>
      <c r="H618" s="8">
        <v>2.2400000000000002</v>
      </c>
      <c r="I618" s="4">
        <v>0</v>
      </c>
    </row>
    <row r="619" spans="1:9" x14ac:dyDescent="0.2">
      <c r="A619" s="2">
        <v>18</v>
      </c>
      <c r="B619" s="1" t="s">
        <v>106</v>
      </c>
      <c r="C619" s="4">
        <v>43</v>
      </c>
      <c r="D619" s="8">
        <v>1.62</v>
      </c>
      <c r="E619" s="4">
        <v>11</v>
      </c>
      <c r="F619" s="8">
        <v>0.93</v>
      </c>
      <c r="G619" s="4">
        <v>32</v>
      </c>
      <c r="H619" s="8">
        <v>2.1800000000000002</v>
      </c>
      <c r="I619" s="4">
        <v>0</v>
      </c>
    </row>
    <row r="620" spans="1:9" x14ac:dyDescent="0.2">
      <c r="A620" s="2">
        <v>19</v>
      </c>
      <c r="B620" s="1" t="s">
        <v>102</v>
      </c>
      <c r="C620" s="4">
        <v>42</v>
      </c>
      <c r="D620" s="8">
        <v>1.58</v>
      </c>
      <c r="E620" s="4">
        <v>16</v>
      </c>
      <c r="F620" s="8">
        <v>1.36</v>
      </c>
      <c r="G620" s="4">
        <v>26</v>
      </c>
      <c r="H620" s="8">
        <v>1.77</v>
      </c>
      <c r="I620" s="4">
        <v>0</v>
      </c>
    </row>
    <row r="621" spans="1:9" x14ac:dyDescent="0.2">
      <c r="A621" s="2">
        <v>20</v>
      </c>
      <c r="B621" s="1" t="s">
        <v>101</v>
      </c>
      <c r="C621" s="4">
        <v>40</v>
      </c>
      <c r="D621" s="8">
        <v>1.51</v>
      </c>
      <c r="E621" s="4">
        <v>13</v>
      </c>
      <c r="F621" s="8">
        <v>1.1000000000000001</v>
      </c>
      <c r="G621" s="4">
        <v>27</v>
      </c>
      <c r="H621" s="8">
        <v>1.84</v>
      </c>
      <c r="I621" s="4">
        <v>0</v>
      </c>
    </row>
    <row r="622" spans="1:9" x14ac:dyDescent="0.2">
      <c r="A622" s="1"/>
      <c r="C622" s="4"/>
      <c r="D622" s="8"/>
      <c r="E622" s="4"/>
      <c r="F622" s="8"/>
      <c r="G622" s="4"/>
      <c r="H622" s="8"/>
      <c r="I622" s="4"/>
    </row>
    <row r="623" spans="1:9" x14ac:dyDescent="0.2">
      <c r="A623" s="1" t="s">
        <v>28</v>
      </c>
      <c r="C623" s="4"/>
      <c r="D623" s="8"/>
      <c r="E623" s="4"/>
      <c r="F623" s="8"/>
      <c r="G623" s="4"/>
      <c r="H623" s="8"/>
      <c r="I623" s="4"/>
    </row>
    <row r="624" spans="1:9" x14ac:dyDescent="0.2">
      <c r="A624" s="2">
        <v>1</v>
      </c>
      <c r="B624" s="1" t="s">
        <v>111</v>
      </c>
      <c r="C624" s="4">
        <v>779</v>
      </c>
      <c r="D624" s="8">
        <v>11.49</v>
      </c>
      <c r="E624" s="4">
        <v>645</v>
      </c>
      <c r="F624" s="8">
        <v>19.86</v>
      </c>
      <c r="G624" s="4">
        <v>134</v>
      </c>
      <c r="H624" s="8">
        <v>3.83</v>
      </c>
      <c r="I624" s="4">
        <v>0</v>
      </c>
    </row>
    <row r="625" spans="1:9" x14ac:dyDescent="0.2">
      <c r="A625" s="2">
        <v>2</v>
      </c>
      <c r="B625" s="1" t="s">
        <v>110</v>
      </c>
      <c r="C625" s="4">
        <v>750</v>
      </c>
      <c r="D625" s="8">
        <v>11.06</v>
      </c>
      <c r="E625" s="4">
        <v>623</v>
      </c>
      <c r="F625" s="8">
        <v>19.190000000000001</v>
      </c>
      <c r="G625" s="4">
        <v>126</v>
      </c>
      <c r="H625" s="8">
        <v>3.6</v>
      </c>
      <c r="I625" s="4">
        <v>1</v>
      </c>
    </row>
    <row r="626" spans="1:9" x14ac:dyDescent="0.2">
      <c r="A626" s="2">
        <v>3</v>
      </c>
      <c r="B626" s="1" t="s">
        <v>107</v>
      </c>
      <c r="C626" s="4">
        <v>514</v>
      </c>
      <c r="D626" s="8">
        <v>7.58</v>
      </c>
      <c r="E626" s="4">
        <v>197</v>
      </c>
      <c r="F626" s="8">
        <v>6.07</v>
      </c>
      <c r="G626" s="4">
        <v>317</v>
      </c>
      <c r="H626" s="8">
        <v>9.06</v>
      </c>
      <c r="I626" s="4">
        <v>0</v>
      </c>
    </row>
    <row r="627" spans="1:9" x14ac:dyDescent="0.2">
      <c r="A627" s="2">
        <v>4</v>
      </c>
      <c r="B627" s="1" t="s">
        <v>94</v>
      </c>
      <c r="C627" s="4">
        <v>455</v>
      </c>
      <c r="D627" s="8">
        <v>6.71</v>
      </c>
      <c r="E627" s="4">
        <v>106</v>
      </c>
      <c r="F627" s="8">
        <v>3.26</v>
      </c>
      <c r="G627" s="4">
        <v>349</v>
      </c>
      <c r="H627" s="8">
        <v>9.98</v>
      </c>
      <c r="I627" s="4">
        <v>0</v>
      </c>
    </row>
    <row r="628" spans="1:9" x14ac:dyDescent="0.2">
      <c r="A628" s="2">
        <v>5</v>
      </c>
      <c r="B628" s="1" t="s">
        <v>105</v>
      </c>
      <c r="C628" s="4">
        <v>381</v>
      </c>
      <c r="D628" s="8">
        <v>5.62</v>
      </c>
      <c r="E628" s="4">
        <v>193</v>
      </c>
      <c r="F628" s="8">
        <v>5.94</v>
      </c>
      <c r="G628" s="4">
        <v>188</v>
      </c>
      <c r="H628" s="8">
        <v>5.37</v>
      </c>
      <c r="I628" s="4">
        <v>0</v>
      </c>
    </row>
    <row r="629" spans="1:9" x14ac:dyDescent="0.2">
      <c r="A629" s="2">
        <v>6</v>
      </c>
      <c r="B629" s="1" t="s">
        <v>112</v>
      </c>
      <c r="C629" s="4">
        <v>307</v>
      </c>
      <c r="D629" s="8">
        <v>4.53</v>
      </c>
      <c r="E629" s="4">
        <v>211</v>
      </c>
      <c r="F629" s="8">
        <v>6.5</v>
      </c>
      <c r="G629" s="4">
        <v>89</v>
      </c>
      <c r="H629" s="8">
        <v>2.54</v>
      </c>
      <c r="I629" s="4">
        <v>3</v>
      </c>
    </row>
    <row r="630" spans="1:9" x14ac:dyDescent="0.2">
      <c r="A630" s="2">
        <v>7</v>
      </c>
      <c r="B630" s="1" t="s">
        <v>95</v>
      </c>
      <c r="C630" s="4">
        <v>298</v>
      </c>
      <c r="D630" s="8">
        <v>4.4000000000000004</v>
      </c>
      <c r="E630" s="4">
        <v>130</v>
      </c>
      <c r="F630" s="8">
        <v>4</v>
      </c>
      <c r="G630" s="4">
        <v>168</v>
      </c>
      <c r="H630" s="8">
        <v>4.8</v>
      </c>
      <c r="I630" s="4">
        <v>0</v>
      </c>
    </row>
    <row r="631" spans="1:9" x14ac:dyDescent="0.2">
      <c r="A631" s="2">
        <v>8</v>
      </c>
      <c r="B631" s="1" t="s">
        <v>96</v>
      </c>
      <c r="C631" s="4">
        <v>284</v>
      </c>
      <c r="D631" s="8">
        <v>4.1900000000000004</v>
      </c>
      <c r="E631" s="4">
        <v>51</v>
      </c>
      <c r="F631" s="8">
        <v>1.57</v>
      </c>
      <c r="G631" s="4">
        <v>233</v>
      </c>
      <c r="H631" s="8">
        <v>6.66</v>
      </c>
      <c r="I631" s="4">
        <v>0</v>
      </c>
    </row>
    <row r="632" spans="1:9" x14ac:dyDescent="0.2">
      <c r="A632" s="2">
        <v>9</v>
      </c>
      <c r="B632" s="1" t="s">
        <v>104</v>
      </c>
      <c r="C632" s="4">
        <v>246</v>
      </c>
      <c r="D632" s="8">
        <v>3.63</v>
      </c>
      <c r="E632" s="4">
        <v>123</v>
      </c>
      <c r="F632" s="8">
        <v>3.79</v>
      </c>
      <c r="G632" s="4">
        <v>123</v>
      </c>
      <c r="H632" s="8">
        <v>3.52</v>
      </c>
      <c r="I632" s="4">
        <v>0</v>
      </c>
    </row>
    <row r="633" spans="1:9" x14ac:dyDescent="0.2">
      <c r="A633" s="2">
        <v>10</v>
      </c>
      <c r="B633" s="1" t="s">
        <v>103</v>
      </c>
      <c r="C633" s="4">
        <v>233</v>
      </c>
      <c r="D633" s="8">
        <v>3.44</v>
      </c>
      <c r="E633" s="4">
        <v>129</v>
      </c>
      <c r="F633" s="8">
        <v>3.97</v>
      </c>
      <c r="G633" s="4">
        <v>104</v>
      </c>
      <c r="H633" s="8">
        <v>2.97</v>
      </c>
      <c r="I633" s="4">
        <v>0</v>
      </c>
    </row>
    <row r="634" spans="1:9" x14ac:dyDescent="0.2">
      <c r="A634" s="2">
        <v>11</v>
      </c>
      <c r="B634" s="1" t="s">
        <v>113</v>
      </c>
      <c r="C634" s="4">
        <v>203</v>
      </c>
      <c r="D634" s="8">
        <v>2.99</v>
      </c>
      <c r="E634" s="4">
        <v>181</v>
      </c>
      <c r="F634" s="8">
        <v>5.57</v>
      </c>
      <c r="G634" s="4">
        <v>22</v>
      </c>
      <c r="H634" s="8">
        <v>0.63</v>
      </c>
      <c r="I634" s="4">
        <v>0</v>
      </c>
    </row>
    <row r="635" spans="1:9" x14ac:dyDescent="0.2">
      <c r="A635" s="2">
        <v>12</v>
      </c>
      <c r="B635" s="1" t="s">
        <v>108</v>
      </c>
      <c r="C635" s="4">
        <v>179</v>
      </c>
      <c r="D635" s="8">
        <v>2.64</v>
      </c>
      <c r="E635" s="4">
        <v>117</v>
      </c>
      <c r="F635" s="8">
        <v>3.6</v>
      </c>
      <c r="G635" s="4">
        <v>62</v>
      </c>
      <c r="H635" s="8">
        <v>1.77</v>
      </c>
      <c r="I635" s="4">
        <v>0</v>
      </c>
    </row>
    <row r="636" spans="1:9" x14ac:dyDescent="0.2">
      <c r="A636" s="2">
        <v>13</v>
      </c>
      <c r="B636" s="1" t="s">
        <v>109</v>
      </c>
      <c r="C636" s="4">
        <v>162</v>
      </c>
      <c r="D636" s="8">
        <v>2.39</v>
      </c>
      <c r="E636" s="4">
        <v>71</v>
      </c>
      <c r="F636" s="8">
        <v>2.19</v>
      </c>
      <c r="G636" s="4">
        <v>88</v>
      </c>
      <c r="H636" s="8">
        <v>2.52</v>
      </c>
      <c r="I636" s="4">
        <v>0</v>
      </c>
    </row>
    <row r="637" spans="1:9" x14ac:dyDescent="0.2">
      <c r="A637" s="2">
        <v>14</v>
      </c>
      <c r="B637" s="1" t="s">
        <v>102</v>
      </c>
      <c r="C637" s="4">
        <v>150</v>
      </c>
      <c r="D637" s="8">
        <v>2.21</v>
      </c>
      <c r="E637" s="4">
        <v>72</v>
      </c>
      <c r="F637" s="8">
        <v>2.2200000000000002</v>
      </c>
      <c r="G637" s="4">
        <v>78</v>
      </c>
      <c r="H637" s="8">
        <v>2.23</v>
      </c>
      <c r="I637" s="4">
        <v>0</v>
      </c>
    </row>
    <row r="638" spans="1:9" x14ac:dyDescent="0.2">
      <c r="A638" s="2">
        <v>15</v>
      </c>
      <c r="B638" s="1" t="s">
        <v>98</v>
      </c>
      <c r="C638" s="4">
        <v>128</v>
      </c>
      <c r="D638" s="8">
        <v>1.89</v>
      </c>
      <c r="E638" s="4">
        <v>5</v>
      </c>
      <c r="F638" s="8">
        <v>0.15</v>
      </c>
      <c r="G638" s="4">
        <v>123</v>
      </c>
      <c r="H638" s="8">
        <v>3.52</v>
      </c>
      <c r="I638" s="4">
        <v>0</v>
      </c>
    </row>
    <row r="639" spans="1:9" x14ac:dyDescent="0.2">
      <c r="A639" s="2">
        <v>16</v>
      </c>
      <c r="B639" s="1" t="s">
        <v>97</v>
      </c>
      <c r="C639" s="4">
        <v>115</v>
      </c>
      <c r="D639" s="8">
        <v>1.7</v>
      </c>
      <c r="E639" s="4">
        <v>23</v>
      </c>
      <c r="F639" s="8">
        <v>0.71</v>
      </c>
      <c r="G639" s="4">
        <v>92</v>
      </c>
      <c r="H639" s="8">
        <v>2.63</v>
      </c>
      <c r="I639" s="4">
        <v>0</v>
      </c>
    </row>
    <row r="640" spans="1:9" x14ac:dyDescent="0.2">
      <c r="A640" s="2">
        <v>17</v>
      </c>
      <c r="B640" s="1" t="s">
        <v>122</v>
      </c>
      <c r="C640" s="4">
        <v>98</v>
      </c>
      <c r="D640" s="8">
        <v>1.45</v>
      </c>
      <c r="E640" s="4">
        <v>65</v>
      </c>
      <c r="F640" s="8">
        <v>2</v>
      </c>
      <c r="G640" s="4">
        <v>33</v>
      </c>
      <c r="H640" s="8">
        <v>0.94</v>
      </c>
      <c r="I640" s="4">
        <v>0</v>
      </c>
    </row>
    <row r="641" spans="1:9" x14ac:dyDescent="0.2">
      <c r="A641" s="2">
        <v>18</v>
      </c>
      <c r="B641" s="1" t="s">
        <v>106</v>
      </c>
      <c r="C641" s="4">
        <v>95</v>
      </c>
      <c r="D641" s="8">
        <v>1.4</v>
      </c>
      <c r="E641" s="4">
        <v>9</v>
      </c>
      <c r="F641" s="8">
        <v>0.28000000000000003</v>
      </c>
      <c r="G641" s="4">
        <v>86</v>
      </c>
      <c r="H641" s="8">
        <v>2.46</v>
      </c>
      <c r="I641" s="4">
        <v>0</v>
      </c>
    </row>
    <row r="642" spans="1:9" x14ac:dyDescent="0.2">
      <c r="A642" s="2">
        <v>19</v>
      </c>
      <c r="B642" s="1" t="s">
        <v>124</v>
      </c>
      <c r="C642" s="4">
        <v>88</v>
      </c>
      <c r="D642" s="8">
        <v>1.3</v>
      </c>
      <c r="E642" s="4">
        <v>8</v>
      </c>
      <c r="F642" s="8">
        <v>0.25</v>
      </c>
      <c r="G642" s="4">
        <v>80</v>
      </c>
      <c r="H642" s="8">
        <v>2.29</v>
      </c>
      <c r="I642" s="4">
        <v>0</v>
      </c>
    </row>
    <row r="643" spans="1:9" x14ac:dyDescent="0.2">
      <c r="A643" s="2">
        <v>20</v>
      </c>
      <c r="B643" s="1" t="s">
        <v>100</v>
      </c>
      <c r="C643" s="4">
        <v>81</v>
      </c>
      <c r="D643" s="8">
        <v>1.19</v>
      </c>
      <c r="E643" s="4">
        <v>3</v>
      </c>
      <c r="F643" s="8">
        <v>0.09</v>
      </c>
      <c r="G643" s="4">
        <v>78</v>
      </c>
      <c r="H643" s="8">
        <v>2.23</v>
      </c>
      <c r="I643" s="4">
        <v>0</v>
      </c>
    </row>
    <row r="644" spans="1:9" x14ac:dyDescent="0.2">
      <c r="A644" s="1"/>
      <c r="C644" s="4"/>
      <c r="D644" s="8"/>
      <c r="E644" s="4"/>
      <c r="F644" s="8"/>
      <c r="G644" s="4"/>
      <c r="H644" s="8"/>
      <c r="I644" s="4"/>
    </row>
    <row r="645" spans="1:9" x14ac:dyDescent="0.2">
      <c r="A645" s="1" t="s">
        <v>29</v>
      </c>
      <c r="C645" s="4"/>
      <c r="D645" s="8"/>
      <c r="E645" s="4"/>
      <c r="F645" s="8"/>
      <c r="G645" s="4"/>
      <c r="H645" s="8"/>
      <c r="I645" s="4"/>
    </row>
    <row r="646" spans="1:9" x14ac:dyDescent="0.2">
      <c r="A646" s="2">
        <v>1</v>
      </c>
      <c r="B646" s="1" t="s">
        <v>107</v>
      </c>
      <c r="C646" s="4">
        <v>367</v>
      </c>
      <c r="D646" s="8">
        <v>10.67</v>
      </c>
      <c r="E646" s="4">
        <v>202</v>
      </c>
      <c r="F646" s="8">
        <v>11.22</v>
      </c>
      <c r="G646" s="4">
        <v>165</v>
      </c>
      <c r="H646" s="8">
        <v>10.14</v>
      </c>
      <c r="I646" s="4">
        <v>0</v>
      </c>
    </row>
    <row r="647" spans="1:9" x14ac:dyDescent="0.2">
      <c r="A647" s="2">
        <v>2</v>
      </c>
      <c r="B647" s="1" t="s">
        <v>111</v>
      </c>
      <c r="C647" s="4">
        <v>359</v>
      </c>
      <c r="D647" s="8">
        <v>10.44</v>
      </c>
      <c r="E647" s="4">
        <v>288</v>
      </c>
      <c r="F647" s="8">
        <v>15.99</v>
      </c>
      <c r="G647" s="4">
        <v>71</v>
      </c>
      <c r="H647" s="8">
        <v>4.3600000000000003</v>
      </c>
      <c r="I647" s="4">
        <v>0</v>
      </c>
    </row>
    <row r="648" spans="1:9" x14ac:dyDescent="0.2">
      <c r="A648" s="2">
        <v>3</v>
      </c>
      <c r="B648" s="1" t="s">
        <v>110</v>
      </c>
      <c r="C648" s="4">
        <v>325</v>
      </c>
      <c r="D648" s="8">
        <v>9.4499999999999993</v>
      </c>
      <c r="E648" s="4">
        <v>278</v>
      </c>
      <c r="F648" s="8">
        <v>15.44</v>
      </c>
      <c r="G648" s="4">
        <v>47</v>
      </c>
      <c r="H648" s="8">
        <v>2.89</v>
      </c>
      <c r="I648" s="4">
        <v>0</v>
      </c>
    </row>
    <row r="649" spans="1:9" x14ac:dyDescent="0.2">
      <c r="A649" s="2">
        <v>4</v>
      </c>
      <c r="B649" s="1" t="s">
        <v>112</v>
      </c>
      <c r="C649" s="4">
        <v>199</v>
      </c>
      <c r="D649" s="8">
        <v>5.79</v>
      </c>
      <c r="E649" s="4">
        <v>156</v>
      </c>
      <c r="F649" s="8">
        <v>8.66</v>
      </c>
      <c r="G649" s="4">
        <v>42</v>
      </c>
      <c r="H649" s="8">
        <v>2.58</v>
      </c>
      <c r="I649" s="4">
        <v>0</v>
      </c>
    </row>
    <row r="650" spans="1:9" x14ac:dyDescent="0.2">
      <c r="A650" s="2">
        <v>5</v>
      </c>
      <c r="B650" s="1" t="s">
        <v>105</v>
      </c>
      <c r="C650" s="4">
        <v>194</v>
      </c>
      <c r="D650" s="8">
        <v>5.64</v>
      </c>
      <c r="E650" s="4">
        <v>118</v>
      </c>
      <c r="F650" s="8">
        <v>6.55</v>
      </c>
      <c r="G650" s="4">
        <v>76</v>
      </c>
      <c r="H650" s="8">
        <v>4.67</v>
      </c>
      <c r="I650" s="4">
        <v>0</v>
      </c>
    </row>
    <row r="651" spans="1:9" x14ac:dyDescent="0.2">
      <c r="A651" s="2">
        <v>6</v>
      </c>
      <c r="B651" s="1" t="s">
        <v>94</v>
      </c>
      <c r="C651" s="4">
        <v>169</v>
      </c>
      <c r="D651" s="8">
        <v>4.92</v>
      </c>
      <c r="E651" s="4">
        <v>47</v>
      </c>
      <c r="F651" s="8">
        <v>2.61</v>
      </c>
      <c r="G651" s="4">
        <v>122</v>
      </c>
      <c r="H651" s="8">
        <v>7.49</v>
      </c>
      <c r="I651" s="4">
        <v>0</v>
      </c>
    </row>
    <row r="652" spans="1:9" x14ac:dyDescent="0.2">
      <c r="A652" s="2">
        <v>7</v>
      </c>
      <c r="B652" s="1" t="s">
        <v>95</v>
      </c>
      <c r="C652" s="4">
        <v>150</v>
      </c>
      <c r="D652" s="8">
        <v>4.3600000000000003</v>
      </c>
      <c r="E652" s="4">
        <v>74</v>
      </c>
      <c r="F652" s="8">
        <v>4.1100000000000003</v>
      </c>
      <c r="G652" s="4">
        <v>76</v>
      </c>
      <c r="H652" s="8">
        <v>4.67</v>
      </c>
      <c r="I652" s="4">
        <v>0</v>
      </c>
    </row>
    <row r="653" spans="1:9" x14ac:dyDescent="0.2">
      <c r="A653" s="2">
        <v>8</v>
      </c>
      <c r="B653" s="1" t="s">
        <v>104</v>
      </c>
      <c r="C653" s="4">
        <v>135</v>
      </c>
      <c r="D653" s="8">
        <v>3.93</v>
      </c>
      <c r="E653" s="4">
        <v>58</v>
      </c>
      <c r="F653" s="8">
        <v>3.22</v>
      </c>
      <c r="G653" s="4">
        <v>77</v>
      </c>
      <c r="H653" s="8">
        <v>4.7300000000000004</v>
      </c>
      <c r="I653" s="4">
        <v>0</v>
      </c>
    </row>
    <row r="654" spans="1:9" x14ac:dyDescent="0.2">
      <c r="A654" s="2">
        <v>9</v>
      </c>
      <c r="B654" s="1" t="s">
        <v>113</v>
      </c>
      <c r="C654" s="4">
        <v>112</v>
      </c>
      <c r="D654" s="8">
        <v>3.26</v>
      </c>
      <c r="E654" s="4">
        <v>99</v>
      </c>
      <c r="F654" s="8">
        <v>5.5</v>
      </c>
      <c r="G654" s="4">
        <v>13</v>
      </c>
      <c r="H654" s="8">
        <v>0.8</v>
      </c>
      <c r="I654" s="4">
        <v>0</v>
      </c>
    </row>
    <row r="655" spans="1:9" x14ac:dyDescent="0.2">
      <c r="A655" s="2">
        <v>10</v>
      </c>
      <c r="B655" s="1" t="s">
        <v>96</v>
      </c>
      <c r="C655" s="4">
        <v>102</v>
      </c>
      <c r="D655" s="8">
        <v>2.97</v>
      </c>
      <c r="E655" s="4">
        <v>25</v>
      </c>
      <c r="F655" s="8">
        <v>1.39</v>
      </c>
      <c r="G655" s="4">
        <v>77</v>
      </c>
      <c r="H655" s="8">
        <v>4.7300000000000004</v>
      </c>
      <c r="I655" s="4">
        <v>0</v>
      </c>
    </row>
    <row r="656" spans="1:9" x14ac:dyDescent="0.2">
      <c r="A656" s="2">
        <v>10</v>
      </c>
      <c r="B656" s="1" t="s">
        <v>103</v>
      </c>
      <c r="C656" s="4">
        <v>102</v>
      </c>
      <c r="D656" s="8">
        <v>2.97</v>
      </c>
      <c r="E656" s="4">
        <v>71</v>
      </c>
      <c r="F656" s="8">
        <v>3.94</v>
      </c>
      <c r="G656" s="4">
        <v>31</v>
      </c>
      <c r="H656" s="8">
        <v>1.9</v>
      </c>
      <c r="I656" s="4">
        <v>0</v>
      </c>
    </row>
    <row r="657" spans="1:9" x14ac:dyDescent="0.2">
      <c r="A657" s="2">
        <v>12</v>
      </c>
      <c r="B657" s="1" t="s">
        <v>98</v>
      </c>
      <c r="C657" s="4">
        <v>100</v>
      </c>
      <c r="D657" s="8">
        <v>2.91</v>
      </c>
      <c r="E657" s="4">
        <v>22</v>
      </c>
      <c r="F657" s="8">
        <v>1.22</v>
      </c>
      <c r="G657" s="4">
        <v>78</v>
      </c>
      <c r="H657" s="8">
        <v>4.79</v>
      </c>
      <c r="I657" s="4">
        <v>0</v>
      </c>
    </row>
    <row r="658" spans="1:9" x14ac:dyDescent="0.2">
      <c r="A658" s="2">
        <v>13</v>
      </c>
      <c r="B658" s="1" t="s">
        <v>108</v>
      </c>
      <c r="C658" s="4">
        <v>89</v>
      </c>
      <c r="D658" s="8">
        <v>2.59</v>
      </c>
      <c r="E658" s="4">
        <v>58</v>
      </c>
      <c r="F658" s="8">
        <v>3.22</v>
      </c>
      <c r="G658" s="4">
        <v>31</v>
      </c>
      <c r="H658" s="8">
        <v>1.9</v>
      </c>
      <c r="I658" s="4">
        <v>0</v>
      </c>
    </row>
    <row r="659" spans="1:9" x14ac:dyDescent="0.2">
      <c r="A659" s="2">
        <v>14</v>
      </c>
      <c r="B659" s="1" t="s">
        <v>102</v>
      </c>
      <c r="C659" s="4">
        <v>77</v>
      </c>
      <c r="D659" s="8">
        <v>2.2400000000000002</v>
      </c>
      <c r="E659" s="4">
        <v>47</v>
      </c>
      <c r="F659" s="8">
        <v>2.61</v>
      </c>
      <c r="G659" s="4">
        <v>30</v>
      </c>
      <c r="H659" s="8">
        <v>1.84</v>
      </c>
      <c r="I659" s="4">
        <v>0</v>
      </c>
    </row>
    <row r="660" spans="1:9" x14ac:dyDescent="0.2">
      <c r="A660" s="2">
        <v>15</v>
      </c>
      <c r="B660" s="1" t="s">
        <v>97</v>
      </c>
      <c r="C660" s="4">
        <v>65</v>
      </c>
      <c r="D660" s="8">
        <v>1.89</v>
      </c>
      <c r="E660" s="4">
        <v>20</v>
      </c>
      <c r="F660" s="8">
        <v>1.1100000000000001</v>
      </c>
      <c r="G660" s="4">
        <v>45</v>
      </c>
      <c r="H660" s="8">
        <v>2.76</v>
      </c>
      <c r="I660" s="4">
        <v>0</v>
      </c>
    </row>
    <row r="661" spans="1:9" x14ac:dyDescent="0.2">
      <c r="A661" s="2">
        <v>15</v>
      </c>
      <c r="B661" s="1" t="s">
        <v>100</v>
      </c>
      <c r="C661" s="4">
        <v>65</v>
      </c>
      <c r="D661" s="8">
        <v>1.89</v>
      </c>
      <c r="E661" s="4">
        <v>6</v>
      </c>
      <c r="F661" s="8">
        <v>0.33</v>
      </c>
      <c r="G661" s="4">
        <v>59</v>
      </c>
      <c r="H661" s="8">
        <v>3.62</v>
      </c>
      <c r="I661" s="4">
        <v>0</v>
      </c>
    </row>
    <row r="662" spans="1:9" x14ac:dyDescent="0.2">
      <c r="A662" s="2">
        <v>17</v>
      </c>
      <c r="B662" s="1" t="s">
        <v>109</v>
      </c>
      <c r="C662" s="4">
        <v>64</v>
      </c>
      <c r="D662" s="8">
        <v>1.86</v>
      </c>
      <c r="E662" s="4">
        <v>25</v>
      </c>
      <c r="F662" s="8">
        <v>1.39</v>
      </c>
      <c r="G662" s="4">
        <v>38</v>
      </c>
      <c r="H662" s="8">
        <v>2.33</v>
      </c>
      <c r="I662" s="4">
        <v>0</v>
      </c>
    </row>
    <row r="663" spans="1:9" x14ac:dyDescent="0.2">
      <c r="A663" s="2">
        <v>18</v>
      </c>
      <c r="B663" s="1" t="s">
        <v>106</v>
      </c>
      <c r="C663" s="4">
        <v>58</v>
      </c>
      <c r="D663" s="8">
        <v>1.69</v>
      </c>
      <c r="E663" s="4">
        <v>11</v>
      </c>
      <c r="F663" s="8">
        <v>0.61</v>
      </c>
      <c r="G663" s="4">
        <v>47</v>
      </c>
      <c r="H663" s="8">
        <v>2.89</v>
      </c>
      <c r="I663" s="4">
        <v>0</v>
      </c>
    </row>
    <row r="664" spans="1:9" x14ac:dyDescent="0.2">
      <c r="A664" s="2">
        <v>19</v>
      </c>
      <c r="B664" s="1" t="s">
        <v>124</v>
      </c>
      <c r="C664" s="4">
        <v>53</v>
      </c>
      <c r="D664" s="8">
        <v>1.54</v>
      </c>
      <c r="E664" s="4">
        <v>16</v>
      </c>
      <c r="F664" s="8">
        <v>0.89</v>
      </c>
      <c r="G664" s="4">
        <v>37</v>
      </c>
      <c r="H664" s="8">
        <v>2.27</v>
      </c>
      <c r="I664" s="4">
        <v>0</v>
      </c>
    </row>
    <row r="665" spans="1:9" x14ac:dyDescent="0.2">
      <c r="A665" s="2">
        <v>20</v>
      </c>
      <c r="B665" s="1" t="s">
        <v>122</v>
      </c>
      <c r="C665" s="4">
        <v>47</v>
      </c>
      <c r="D665" s="8">
        <v>1.37</v>
      </c>
      <c r="E665" s="4">
        <v>29</v>
      </c>
      <c r="F665" s="8">
        <v>1.61</v>
      </c>
      <c r="G665" s="4">
        <v>18</v>
      </c>
      <c r="H665" s="8">
        <v>1.1100000000000001</v>
      </c>
      <c r="I665" s="4">
        <v>0</v>
      </c>
    </row>
    <row r="666" spans="1:9" x14ac:dyDescent="0.2">
      <c r="A666" s="1"/>
      <c r="C666" s="4"/>
      <c r="D666" s="8"/>
      <c r="E666" s="4"/>
      <c r="F666" s="8"/>
      <c r="G666" s="4"/>
      <c r="H666" s="8"/>
      <c r="I666" s="4"/>
    </row>
    <row r="667" spans="1:9" x14ac:dyDescent="0.2">
      <c r="A667" s="1" t="s">
        <v>30</v>
      </c>
      <c r="C667" s="4"/>
      <c r="D667" s="8"/>
      <c r="E667" s="4"/>
      <c r="F667" s="8"/>
      <c r="G667" s="4"/>
      <c r="H667" s="8"/>
      <c r="I667" s="4"/>
    </row>
    <row r="668" spans="1:9" x14ac:dyDescent="0.2">
      <c r="A668" s="2">
        <v>1</v>
      </c>
      <c r="B668" s="1" t="s">
        <v>111</v>
      </c>
      <c r="C668" s="4">
        <v>400</v>
      </c>
      <c r="D668" s="8">
        <v>10.25</v>
      </c>
      <c r="E668" s="4">
        <v>352</v>
      </c>
      <c r="F668" s="8">
        <v>15.07</v>
      </c>
      <c r="G668" s="4">
        <v>47</v>
      </c>
      <c r="H668" s="8">
        <v>3.1</v>
      </c>
      <c r="I668" s="4">
        <v>1</v>
      </c>
    </row>
    <row r="669" spans="1:9" x14ac:dyDescent="0.2">
      <c r="A669" s="2">
        <v>2</v>
      </c>
      <c r="B669" s="1" t="s">
        <v>110</v>
      </c>
      <c r="C669" s="4">
        <v>281</v>
      </c>
      <c r="D669" s="8">
        <v>7.2</v>
      </c>
      <c r="E669" s="4">
        <v>246</v>
      </c>
      <c r="F669" s="8">
        <v>10.53</v>
      </c>
      <c r="G669" s="4">
        <v>35</v>
      </c>
      <c r="H669" s="8">
        <v>2.31</v>
      </c>
      <c r="I669" s="4">
        <v>0</v>
      </c>
    </row>
    <row r="670" spans="1:9" x14ac:dyDescent="0.2">
      <c r="A670" s="2">
        <v>3</v>
      </c>
      <c r="B670" s="1" t="s">
        <v>94</v>
      </c>
      <c r="C670" s="4">
        <v>278</v>
      </c>
      <c r="D670" s="8">
        <v>7.13</v>
      </c>
      <c r="E670" s="4">
        <v>121</v>
      </c>
      <c r="F670" s="8">
        <v>5.18</v>
      </c>
      <c r="G670" s="4">
        <v>157</v>
      </c>
      <c r="H670" s="8">
        <v>10.37</v>
      </c>
      <c r="I670" s="4">
        <v>0</v>
      </c>
    </row>
    <row r="671" spans="1:9" x14ac:dyDescent="0.2">
      <c r="A671" s="2">
        <v>4</v>
      </c>
      <c r="B671" s="1" t="s">
        <v>105</v>
      </c>
      <c r="C671" s="4">
        <v>249</v>
      </c>
      <c r="D671" s="8">
        <v>6.38</v>
      </c>
      <c r="E671" s="4">
        <v>161</v>
      </c>
      <c r="F671" s="8">
        <v>6.89</v>
      </c>
      <c r="G671" s="4">
        <v>88</v>
      </c>
      <c r="H671" s="8">
        <v>5.81</v>
      </c>
      <c r="I671" s="4">
        <v>0</v>
      </c>
    </row>
    <row r="672" spans="1:9" x14ac:dyDescent="0.2">
      <c r="A672" s="2">
        <v>5</v>
      </c>
      <c r="B672" s="1" t="s">
        <v>95</v>
      </c>
      <c r="C672" s="4">
        <v>237</v>
      </c>
      <c r="D672" s="8">
        <v>6.08</v>
      </c>
      <c r="E672" s="4">
        <v>144</v>
      </c>
      <c r="F672" s="8">
        <v>6.16</v>
      </c>
      <c r="G672" s="4">
        <v>93</v>
      </c>
      <c r="H672" s="8">
        <v>6.14</v>
      </c>
      <c r="I672" s="4">
        <v>0</v>
      </c>
    </row>
    <row r="673" spans="1:9" x14ac:dyDescent="0.2">
      <c r="A673" s="2">
        <v>6</v>
      </c>
      <c r="B673" s="1" t="s">
        <v>103</v>
      </c>
      <c r="C673" s="4">
        <v>193</v>
      </c>
      <c r="D673" s="8">
        <v>4.95</v>
      </c>
      <c r="E673" s="4">
        <v>153</v>
      </c>
      <c r="F673" s="8">
        <v>6.55</v>
      </c>
      <c r="G673" s="4">
        <v>39</v>
      </c>
      <c r="H673" s="8">
        <v>2.58</v>
      </c>
      <c r="I673" s="4">
        <v>1</v>
      </c>
    </row>
    <row r="674" spans="1:9" x14ac:dyDescent="0.2">
      <c r="A674" s="2">
        <v>7</v>
      </c>
      <c r="B674" s="1" t="s">
        <v>112</v>
      </c>
      <c r="C674" s="4">
        <v>175</v>
      </c>
      <c r="D674" s="8">
        <v>4.49</v>
      </c>
      <c r="E674" s="4">
        <v>133</v>
      </c>
      <c r="F674" s="8">
        <v>5.69</v>
      </c>
      <c r="G674" s="4">
        <v>31</v>
      </c>
      <c r="H674" s="8">
        <v>2.0499999999999998</v>
      </c>
      <c r="I674" s="4">
        <v>1</v>
      </c>
    </row>
    <row r="675" spans="1:9" x14ac:dyDescent="0.2">
      <c r="A675" s="2">
        <v>8</v>
      </c>
      <c r="B675" s="1" t="s">
        <v>107</v>
      </c>
      <c r="C675" s="4">
        <v>144</v>
      </c>
      <c r="D675" s="8">
        <v>3.69</v>
      </c>
      <c r="E675" s="4">
        <v>55</v>
      </c>
      <c r="F675" s="8">
        <v>2.35</v>
      </c>
      <c r="G675" s="4">
        <v>88</v>
      </c>
      <c r="H675" s="8">
        <v>5.81</v>
      </c>
      <c r="I675" s="4">
        <v>1</v>
      </c>
    </row>
    <row r="676" spans="1:9" x14ac:dyDescent="0.2">
      <c r="A676" s="2">
        <v>9</v>
      </c>
      <c r="B676" s="1" t="s">
        <v>96</v>
      </c>
      <c r="C676" s="4">
        <v>139</v>
      </c>
      <c r="D676" s="8">
        <v>3.56</v>
      </c>
      <c r="E676" s="4">
        <v>52</v>
      </c>
      <c r="F676" s="8">
        <v>2.23</v>
      </c>
      <c r="G676" s="4">
        <v>87</v>
      </c>
      <c r="H676" s="8">
        <v>5.75</v>
      </c>
      <c r="I676" s="4">
        <v>0</v>
      </c>
    </row>
    <row r="677" spans="1:9" x14ac:dyDescent="0.2">
      <c r="A677" s="2">
        <v>10</v>
      </c>
      <c r="B677" s="1" t="s">
        <v>104</v>
      </c>
      <c r="C677" s="4">
        <v>138</v>
      </c>
      <c r="D677" s="8">
        <v>3.54</v>
      </c>
      <c r="E677" s="4">
        <v>88</v>
      </c>
      <c r="F677" s="8">
        <v>3.77</v>
      </c>
      <c r="G677" s="4">
        <v>50</v>
      </c>
      <c r="H677" s="8">
        <v>3.3</v>
      </c>
      <c r="I677" s="4">
        <v>0</v>
      </c>
    </row>
    <row r="678" spans="1:9" x14ac:dyDescent="0.2">
      <c r="A678" s="2">
        <v>11</v>
      </c>
      <c r="B678" s="1" t="s">
        <v>113</v>
      </c>
      <c r="C678" s="4">
        <v>133</v>
      </c>
      <c r="D678" s="8">
        <v>3.41</v>
      </c>
      <c r="E678" s="4">
        <v>126</v>
      </c>
      <c r="F678" s="8">
        <v>5.39</v>
      </c>
      <c r="G678" s="4">
        <v>7</v>
      </c>
      <c r="H678" s="8">
        <v>0.46</v>
      </c>
      <c r="I678" s="4">
        <v>0</v>
      </c>
    </row>
    <row r="679" spans="1:9" x14ac:dyDescent="0.2">
      <c r="A679" s="2">
        <v>12</v>
      </c>
      <c r="B679" s="1" t="s">
        <v>125</v>
      </c>
      <c r="C679" s="4">
        <v>128</v>
      </c>
      <c r="D679" s="8">
        <v>3.28</v>
      </c>
      <c r="E679" s="4">
        <v>90</v>
      </c>
      <c r="F679" s="8">
        <v>3.85</v>
      </c>
      <c r="G679" s="4">
        <v>38</v>
      </c>
      <c r="H679" s="8">
        <v>2.5099999999999998</v>
      </c>
      <c r="I679" s="4">
        <v>0</v>
      </c>
    </row>
    <row r="680" spans="1:9" x14ac:dyDescent="0.2">
      <c r="A680" s="2">
        <v>13</v>
      </c>
      <c r="B680" s="1" t="s">
        <v>98</v>
      </c>
      <c r="C680" s="4">
        <v>110</v>
      </c>
      <c r="D680" s="8">
        <v>2.82</v>
      </c>
      <c r="E680" s="4">
        <v>33</v>
      </c>
      <c r="F680" s="8">
        <v>1.41</v>
      </c>
      <c r="G680" s="4">
        <v>77</v>
      </c>
      <c r="H680" s="8">
        <v>5.09</v>
      </c>
      <c r="I680" s="4">
        <v>0</v>
      </c>
    </row>
    <row r="681" spans="1:9" x14ac:dyDescent="0.2">
      <c r="A681" s="2">
        <v>13</v>
      </c>
      <c r="B681" s="1" t="s">
        <v>102</v>
      </c>
      <c r="C681" s="4">
        <v>110</v>
      </c>
      <c r="D681" s="8">
        <v>2.82</v>
      </c>
      <c r="E681" s="4">
        <v>58</v>
      </c>
      <c r="F681" s="8">
        <v>2.48</v>
      </c>
      <c r="G681" s="4">
        <v>52</v>
      </c>
      <c r="H681" s="8">
        <v>3.43</v>
      </c>
      <c r="I681" s="4">
        <v>0</v>
      </c>
    </row>
    <row r="682" spans="1:9" x14ac:dyDescent="0.2">
      <c r="A682" s="2">
        <v>15</v>
      </c>
      <c r="B682" s="1" t="s">
        <v>109</v>
      </c>
      <c r="C682" s="4">
        <v>90</v>
      </c>
      <c r="D682" s="8">
        <v>2.31</v>
      </c>
      <c r="E682" s="4">
        <v>48</v>
      </c>
      <c r="F682" s="8">
        <v>2.0499999999999998</v>
      </c>
      <c r="G682" s="4">
        <v>42</v>
      </c>
      <c r="H682" s="8">
        <v>2.77</v>
      </c>
      <c r="I682" s="4">
        <v>0</v>
      </c>
    </row>
    <row r="683" spans="1:9" x14ac:dyDescent="0.2">
      <c r="A683" s="2">
        <v>16</v>
      </c>
      <c r="B683" s="1" t="s">
        <v>97</v>
      </c>
      <c r="C683" s="4">
        <v>77</v>
      </c>
      <c r="D683" s="8">
        <v>1.97</v>
      </c>
      <c r="E683" s="4">
        <v>37</v>
      </c>
      <c r="F683" s="8">
        <v>1.58</v>
      </c>
      <c r="G683" s="4">
        <v>40</v>
      </c>
      <c r="H683" s="8">
        <v>2.64</v>
      </c>
      <c r="I683" s="4">
        <v>0</v>
      </c>
    </row>
    <row r="684" spans="1:9" x14ac:dyDescent="0.2">
      <c r="A684" s="2">
        <v>17</v>
      </c>
      <c r="B684" s="1" t="s">
        <v>108</v>
      </c>
      <c r="C684" s="4">
        <v>73</v>
      </c>
      <c r="D684" s="8">
        <v>1.87</v>
      </c>
      <c r="E684" s="4">
        <v>53</v>
      </c>
      <c r="F684" s="8">
        <v>2.27</v>
      </c>
      <c r="G684" s="4">
        <v>20</v>
      </c>
      <c r="H684" s="8">
        <v>1.32</v>
      </c>
      <c r="I684" s="4">
        <v>0</v>
      </c>
    </row>
    <row r="685" spans="1:9" x14ac:dyDescent="0.2">
      <c r="A685" s="2">
        <v>18</v>
      </c>
      <c r="B685" s="1" t="s">
        <v>101</v>
      </c>
      <c r="C685" s="4">
        <v>64</v>
      </c>
      <c r="D685" s="8">
        <v>1.64</v>
      </c>
      <c r="E685" s="4">
        <v>20</v>
      </c>
      <c r="F685" s="8">
        <v>0.86</v>
      </c>
      <c r="G685" s="4">
        <v>44</v>
      </c>
      <c r="H685" s="8">
        <v>2.91</v>
      </c>
      <c r="I685" s="4">
        <v>0</v>
      </c>
    </row>
    <row r="686" spans="1:9" x14ac:dyDescent="0.2">
      <c r="A686" s="2">
        <v>19</v>
      </c>
      <c r="B686" s="1" t="s">
        <v>129</v>
      </c>
      <c r="C686" s="4">
        <v>51</v>
      </c>
      <c r="D686" s="8">
        <v>1.31</v>
      </c>
      <c r="E686" s="4">
        <v>36</v>
      </c>
      <c r="F686" s="8">
        <v>1.54</v>
      </c>
      <c r="G686" s="4">
        <v>15</v>
      </c>
      <c r="H686" s="8">
        <v>0.99</v>
      </c>
      <c r="I686" s="4">
        <v>0</v>
      </c>
    </row>
    <row r="687" spans="1:9" x14ac:dyDescent="0.2">
      <c r="A687" s="2">
        <v>20</v>
      </c>
      <c r="B687" s="1" t="s">
        <v>128</v>
      </c>
      <c r="C687" s="4">
        <v>49</v>
      </c>
      <c r="D687" s="8">
        <v>1.26</v>
      </c>
      <c r="E687" s="4">
        <v>23</v>
      </c>
      <c r="F687" s="8">
        <v>0.98</v>
      </c>
      <c r="G687" s="4">
        <v>26</v>
      </c>
      <c r="H687" s="8">
        <v>1.72</v>
      </c>
      <c r="I687" s="4">
        <v>0</v>
      </c>
    </row>
    <row r="688" spans="1:9" x14ac:dyDescent="0.2">
      <c r="A688" s="2">
        <v>20</v>
      </c>
      <c r="B688" s="1" t="s">
        <v>99</v>
      </c>
      <c r="C688" s="4">
        <v>49</v>
      </c>
      <c r="D688" s="8">
        <v>1.26</v>
      </c>
      <c r="E688" s="4">
        <v>14</v>
      </c>
      <c r="F688" s="8">
        <v>0.6</v>
      </c>
      <c r="G688" s="4">
        <v>35</v>
      </c>
      <c r="H688" s="8">
        <v>2.31</v>
      </c>
      <c r="I688" s="4">
        <v>0</v>
      </c>
    </row>
    <row r="689" spans="1:9" x14ac:dyDescent="0.2">
      <c r="A689" s="1"/>
      <c r="C689" s="4"/>
      <c r="D689" s="8"/>
      <c r="E689" s="4"/>
      <c r="F689" s="8"/>
      <c r="G689" s="4"/>
      <c r="H689" s="8"/>
      <c r="I689" s="4"/>
    </row>
    <row r="690" spans="1:9" x14ac:dyDescent="0.2">
      <c r="A690" s="1" t="s">
        <v>31</v>
      </c>
      <c r="C690" s="4"/>
      <c r="D690" s="8"/>
      <c r="E690" s="4"/>
      <c r="F690" s="8"/>
      <c r="G690" s="4"/>
      <c r="H690" s="8"/>
      <c r="I690" s="4"/>
    </row>
    <row r="691" spans="1:9" x14ac:dyDescent="0.2">
      <c r="A691" s="2">
        <v>1</v>
      </c>
      <c r="B691" s="1" t="s">
        <v>110</v>
      </c>
      <c r="C691" s="4">
        <v>197</v>
      </c>
      <c r="D691" s="8">
        <v>9.27</v>
      </c>
      <c r="E691" s="4">
        <v>170</v>
      </c>
      <c r="F691" s="8">
        <v>14.76</v>
      </c>
      <c r="G691" s="4">
        <v>27</v>
      </c>
      <c r="H691" s="8">
        <v>2.86</v>
      </c>
      <c r="I691" s="4">
        <v>0</v>
      </c>
    </row>
    <row r="692" spans="1:9" x14ac:dyDescent="0.2">
      <c r="A692" s="2">
        <v>2</v>
      </c>
      <c r="B692" s="1" t="s">
        <v>111</v>
      </c>
      <c r="C692" s="4">
        <v>184</v>
      </c>
      <c r="D692" s="8">
        <v>8.66</v>
      </c>
      <c r="E692" s="4">
        <v>164</v>
      </c>
      <c r="F692" s="8">
        <v>14.24</v>
      </c>
      <c r="G692" s="4">
        <v>20</v>
      </c>
      <c r="H692" s="8">
        <v>2.12</v>
      </c>
      <c r="I692" s="4">
        <v>0</v>
      </c>
    </row>
    <row r="693" spans="1:9" x14ac:dyDescent="0.2">
      <c r="A693" s="2">
        <v>3</v>
      </c>
      <c r="B693" s="1" t="s">
        <v>125</v>
      </c>
      <c r="C693" s="4">
        <v>180</v>
      </c>
      <c r="D693" s="8">
        <v>8.4700000000000006</v>
      </c>
      <c r="E693" s="4">
        <v>94</v>
      </c>
      <c r="F693" s="8">
        <v>8.16</v>
      </c>
      <c r="G693" s="4">
        <v>86</v>
      </c>
      <c r="H693" s="8">
        <v>9.1199999999999992</v>
      </c>
      <c r="I693" s="4">
        <v>0</v>
      </c>
    </row>
    <row r="694" spans="1:9" x14ac:dyDescent="0.2">
      <c r="A694" s="2">
        <v>4</v>
      </c>
      <c r="B694" s="1" t="s">
        <v>107</v>
      </c>
      <c r="C694" s="4">
        <v>154</v>
      </c>
      <c r="D694" s="8">
        <v>7.25</v>
      </c>
      <c r="E694" s="4">
        <v>63</v>
      </c>
      <c r="F694" s="8">
        <v>5.47</v>
      </c>
      <c r="G694" s="4">
        <v>91</v>
      </c>
      <c r="H694" s="8">
        <v>9.65</v>
      </c>
      <c r="I694" s="4">
        <v>0</v>
      </c>
    </row>
    <row r="695" spans="1:9" x14ac:dyDescent="0.2">
      <c r="A695" s="2">
        <v>5</v>
      </c>
      <c r="B695" s="1" t="s">
        <v>105</v>
      </c>
      <c r="C695" s="4">
        <v>140</v>
      </c>
      <c r="D695" s="8">
        <v>6.59</v>
      </c>
      <c r="E695" s="4">
        <v>88</v>
      </c>
      <c r="F695" s="8">
        <v>7.64</v>
      </c>
      <c r="G695" s="4">
        <v>52</v>
      </c>
      <c r="H695" s="8">
        <v>5.51</v>
      </c>
      <c r="I695" s="4">
        <v>0</v>
      </c>
    </row>
    <row r="696" spans="1:9" x14ac:dyDescent="0.2">
      <c r="A696" s="2">
        <v>6</v>
      </c>
      <c r="B696" s="1" t="s">
        <v>103</v>
      </c>
      <c r="C696" s="4">
        <v>104</v>
      </c>
      <c r="D696" s="8">
        <v>4.9000000000000004</v>
      </c>
      <c r="E696" s="4">
        <v>74</v>
      </c>
      <c r="F696" s="8">
        <v>6.42</v>
      </c>
      <c r="G696" s="4">
        <v>30</v>
      </c>
      <c r="H696" s="8">
        <v>3.18</v>
      </c>
      <c r="I696" s="4">
        <v>0</v>
      </c>
    </row>
    <row r="697" spans="1:9" x14ac:dyDescent="0.2">
      <c r="A697" s="2">
        <v>7</v>
      </c>
      <c r="B697" s="1" t="s">
        <v>94</v>
      </c>
      <c r="C697" s="4">
        <v>99</v>
      </c>
      <c r="D697" s="8">
        <v>4.66</v>
      </c>
      <c r="E697" s="4">
        <v>23</v>
      </c>
      <c r="F697" s="8">
        <v>2</v>
      </c>
      <c r="G697" s="4">
        <v>76</v>
      </c>
      <c r="H697" s="8">
        <v>8.06</v>
      </c>
      <c r="I697" s="4">
        <v>0</v>
      </c>
    </row>
    <row r="698" spans="1:9" x14ac:dyDescent="0.2">
      <c r="A698" s="2">
        <v>8</v>
      </c>
      <c r="B698" s="1" t="s">
        <v>95</v>
      </c>
      <c r="C698" s="4">
        <v>84</v>
      </c>
      <c r="D698" s="8">
        <v>3.95</v>
      </c>
      <c r="E698" s="4">
        <v>41</v>
      </c>
      <c r="F698" s="8">
        <v>3.56</v>
      </c>
      <c r="G698" s="4">
        <v>43</v>
      </c>
      <c r="H698" s="8">
        <v>4.5599999999999996</v>
      </c>
      <c r="I698" s="4">
        <v>0</v>
      </c>
    </row>
    <row r="699" spans="1:9" x14ac:dyDescent="0.2">
      <c r="A699" s="2">
        <v>9</v>
      </c>
      <c r="B699" s="1" t="s">
        <v>104</v>
      </c>
      <c r="C699" s="4">
        <v>83</v>
      </c>
      <c r="D699" s="8">
        <v>3.91</v>
      </c>
      <c r="E699" s="4">
        <v>52</v>
      </c>
      <c r="F699" s="8">
        <v>4.51</v>
      </c>
      <c r="G699" s="4">
        <v>31</v>
      </c>
      <c r="H699" s="8">
        <v>3.29</v>
      </c>
      <c r="I699" s="4">
        <v>0</v>
      </c>
    </row>
    <row r="700" spans="1:9" x14ac:dyDescent="0.2">
      <c r="A700" s="2">
        <v>10</v>
      </c>
      <c r="B700" s="1" t="s">
        <v>112</v>
      </c>
      <c r="C700" s="4">
        <v>77</v>
      </c>
      <c r="D700" s="8">
        <v>3.63</v>
      </c>
      <c r="E700" s="4">
        <v>48</v>
      </c>
      <c r="F700" s="8">
        <v>4.17</v>
      </c>
      <c r="G700" s="4">
        <v>16</v>
      </c>
      <c r="H700" s="8">
        <v>1.7</v>
      </c>
      <c r="I700" s="4">
        <v>11</v>
      </c>
    </row>
    <row r="701" spans="1:9" x14ac:dyDescent="0.2">
      <c r="A701" s="2">
        <v>11</v>
      </c>
      <c r="B701" s="1" t="s">
        <v>96</v>
      </c>
      <c r="C701" s="4">
        <v>57</v>
      </c>
      <c r="D701" s="8">
        <v>2.68</v>
      </c>
      <c r="E701" s="4">
        <v>13</v>
      </c>
      <c r="F701" s="8">
        <v>1.1299999999999999</v>
      </c>
      <c r="G701" s="4">
        <v>44</v>
      </c>
      <c r="H701" s="8">
        <v>4.67</v>
      </c>
      <c r="I701" s="4">
        <v>0</v>
      </c>
    </row>
    <row r="702" spans="1:9" x14ac:dyDescent="0.2">
      <c r="A702" s="2">
        <v>12</v>
      </c>
      <c r="B702" s="1" t="s">
        <v>113</v>
      </c>
      <c r="C702" s="4">
        <v>54</v>
      </c>
      <c r="D702" s="8">
        <v>2.54</v>
      </c>
      <c r="E702" s="4">
        <v>47</v>
      </c>
      <c r="F702" s="8">
        <v>4.08</v>
      </c>
      <c r="G702" s="4">
        <v>7</v>
      </c>
      <c r="H702" s="8">
        <v>0.74</v>
      </c>
      <c r="I702" s="4">
        <v>0</v>
      </c>
    </row>
    <row r="703" spans="1:9" x14ac:dyDescent="0.2">
      <c r="A703" s="2">
        <v>13</v>
      </c>
      <c r="B703" s="1" t="s">
        <v>102</v>
      </c>
      <c r="C703" s="4">
        <v>52</v>
      </c>
      <c r="D703" s="8">
        <v>2.4500000000000002</v>
      </c>
      <c r="E703" s="4">
        <v>29</v>
      </c>
      <c r="F703" s="8">
        <v>2.52</v>
      </c>
      <c r="G703" s="4">
        <v>23</v>
      </c>
      <c r="H703" s="8">
        <v>2.44</v>
      </c>
      <c r="I703" s="4">
        <v>0</v>
      </c>
    </row>
    <row r="704" spans="1:9" x14ac:dyDescent="0.2">
      <c r="A704" s="2">
        <v>14</v>
      </c>
      <c r="B704" s="1" t="s">
        <v>109</v>
      </c>
      <c r="C704" s="4">
        <v>42</v>
      </c>
      <c r="D704" s="8">
        <v>1.98</v>
      </c>
      <c r="E704" s="4">
        <v>21</v>
      </c>
      <c r="F704" s="8">
        <v>1.82</v>
      </c>
      <c r="G704" s="4">
        <v>21</v>
      </c>
      <c r="H704" s="8">
        <v>2.23</v>
      </c>
      <c r="I704" s="4">
        <v>0</v>
      </c>
    </row>
    <row r="705" spans="1:9" x14ac:dyDescent="0.2">
      <c r="A705" s="2">
        <v>15</v>
      </c>
      <c r="B705" s="1" t="s">
        <v>108</v>
      </c>
      <c r="C705" s="4">
        <v>39</v>
      </c>
      <c r="D705" s="8">
        <v>1.84</v>
      </c>
      <c r="E705" s="4">
        <v>29</v>
      </c>
      <c r="F705" s="8">
        <v>2.52</v>
      </c>
      <c r="G705" s="4">
        <v>10</v>
      </c>
      <c r="H705" s="8">
        <v>1.06</v>
      </c>
      <c r="I705" s="4">
        <v>0</v>
      </c>
    </row>
    <row r="706" spans="1:9" x14ac:dyDescent="0.2">
      <c r="A706" s="2">
        <v>16</v>
      </c>
      <c r="B706" s="1" t="s">
        <v>98</v>
      </c>
      <c r="C706" s="4">
        <v>33</v>
      </c>
      <c r="D706" s="8">
        <v>1.55</v>
      </c>
      <c r="E706" s="4">
        <v>12</v>
      </c>
      <c r="F706" s="8">
        <v>1.04</v>
      </c>
      <c r="G706" s="4">
        <v>21</v>
      </c>
      <c r="H706" s="8">
        <v>2.23</v>
      </c>
      <c r="I706" s="4">
        <v>0</v>
      </c>
    </row>
    <row r="707" spans="1:9" x14ac:dyDescent="0.2">
      <c r="A707" s="2">
        <v>17</v>
      </c>
      <c r="B707" s="1" t="s">
        <v>118</v>
      </c>
      <c r="C707" s="4">
        <v>31</v>
      </c>
      <c r="D707" s="8">
        <v>1.46</v>
      </c>
      <c r="E707" s="4">
        <v>13</v>
      </c>
      <c r="F707" s="8">
        <v>1.1299999999999999</v>
      </c>
      <c r="G707" s="4">
        <v>18</v>
      </c>
      <c r="H707" s="8">
        <v>1.91</v>
      </c>
      <c r="I707" s="4">
        <v>0</v>
      </c>
    </row>
    <row r="708" spans="1:9" x14ac:dyDescent="0.2">
      <c r="A708" s="2">
        <v>18</v>
      </c>
      <c r="B708" s="1" t="s">
        <v>97</v>
      </c>
      <c r="C708" s="4">
        <v>29</v>
      </c>
      <c r="D708" s="8">
        <v>1.37</v>
      </c>
      <c r="E708" s="4">
        <v>13</v>
      </c>
      <c r="F708" s="8">
        <v>1.1299999999999999</v>
      </c>
      <c r="G708" s="4">
        <v>16</v>
      </c>
      <c r="H708" s="8">
        <v>1.7</v>
      </c>
      <c r="I708" s="4">
        <v>0</v>
      </c>
    </row>
    <row r="709" spans="1:9" x14ac:dyDescent="0.2">
      <c r="A709" s="2">
        <v>19</v>
      </c>
      <c r="B709" s="1" t="s">
        <v>124</v>
      </c>
      <c r="C709" s="4">
        <v>28</v>
      </c>
      <c r="D709" s="8">
        <v>1.32</v>
      </c>
      <c r="E709" s="4">
        <v>11</v>
      </c>
      <c r="F709" s="8">
        <v>0.95</v>
      </c>
      <c r="G709" s="4">
        <v>17</v>
      </c>
      <c r="H709" s="8">
        <v>1.8</v>
      </c>
      <c r="I709" s="4">
        <v>0</v>
      </c>
    </row>
    <row r="710" spans="1:9" x14ac:dyDescent="0.2">
      <c r="A710" s="2">
        <v>20</v>
      </c>
      <c r="B710" s="1" t="s">
        <v>130</v>
      </c>
      <c r="C710" s="4">
        <v>27</v>
      </c>
      <c r="D710" s="8">
        <v>1.27</v>
      </c>
      <c r="E710" s="4">
        <v>2</v>
      </c>
      <c r="F710" s="8">
        <v>0.17</v>
      </c>
      <c r="G710" s="4">
        <v>25</v>
      </c>
      <c r="H710" s="8">
        <v>2.65</v>
      </c>
      <c r="I710" s="4">
        <v>0</v>
      </c>
    </row>
    <row r="711" spans="1:9" x14ac:dyDescent="0.2">
      <c r="A711" s="1"/>
      <c r="C711" s="4"/>
      <c r="D711" s="8"/>
      <c r="E711" s="4"/>
      <c r="F711" s="8"/>
      <c r="G711" s="4"/>
      <c r="H711" s="8"/>
      <c r="I711" s="4"/>
    </row>
    <row r="712" spans="1:9" x14ac:dyDescent="0.2">
      <c r="A712" s="1" t="s">
        <v>32</v>
      </c>
      <c r="C712" s="4"/>
      <c r="D712" s="8"/>
      <c r="E712" s="4"/>
      <c r="F712" s="8"/>
      <c r="G712" s="4"/>
      <c r="H712" s="8"/>
      <c r="I712" s="4"/>
    </row>
    <row r="713" spans="1:9" x14ac:dyDescent="0.2">
      <c r="A713" s="2">
        <v>1</v>
      </c>
      <c r="B713" s="1" t="s">
        <v>110</v>
      </c>
      <c r="C713" s="4">
        <v>160</v>
      </c>
      <c r="D713" s="8">
        <v>11.43</v>
      </c>
      <c r="E713" s="4">
        <v>133</v>
      </c>
      <c r="F713" s="8">
        <v>19.05</v>
      </c>
      <c r="G713" s="4">
        <v>26</v>
      </c>
      <c r="H713" s="8">
        <v>3.8</v>
      </c>
      <c r="I713" s="4">
        <v>1</v>
      </c>
    </row>
    <row r="714" spans="1:9" x14ac:dyDescent="0.2">
      <c r="A714" s="2">
        <v>2</v>
      </c>
      <c r="B714" s="1" t="s">
        <v>111</v>
      </c>
      <c r="C714" s="4">
        <v>123</v>
      </c>
      <c r="D714" s="8">
        <v>8.7899999999999991</v>
      </c>
      <c r="E714" s="4">
        <v>101</v>
      </c>
      <c r="F714" s="8">
        <v>14.47</v>
      </c>
      <c r="G714" s="4">
        <v>22</v>
      </c>
      <c r="H714" s="8">
        <v>3.21</v>
      </c>
      <c r="I714" s="4">
        <v>0</v>
      </c>
    </row>
    <row r="715" spans="1:9" x14ac:dyDescent="0.2">
      <c r="A715" s="2">
        <v>3</v>
      </c>
      <c r="B715" s="1" t="s">
        <v>105</v>
      </c>
      <c r="C715" s="4">
        <v>86</v>
      </c>
      <c r="D715" s="8">
        <v>6.14</v>
      </c>
      <c r="E715" s="4">
        <v>44</v>
      </c>
      <c r="F715" s="8">
        <v>6.3</v>
      </c>
      <c r="G715" s="4">
        <v>42</v>
      </c>
      <c r="H715" s="8">
        <v>6.13</v>
      </c>
      <c r="I715" s="4">
        <v>0</v>
      </c>
    </row>
    <row r="716" spans="1:9" x14ac:dyDescent="0.2">
      <c r="A716" s="2">
        <v>4</v>
      </c>
      <c r="B716" s="1" t="s">
        <v>112</v>
      </c>
      <c r="C716" s="4">
        <v>75</v>
      </c>
      <c r="D716" s="8">
        <v>5.36</v>
      </c>
      <c r="E716" s="4">
        <v>50</v>
      </c>
      <c r="F716" s="8">
        <v>7.16</v>
      </c>
      <c r="G716" s="4">
        <v>22</v>
      </c>
      <c r="H716" s="8">
        <v>3.21</v>
      </c>
      <c r="I716" s="4">
        <v>0</v>
      </c>
    </row>
    <row r="717" spans="1:9" x14ac:dyDescent="0.2">
      <c r="A717" s="2">
        <v>5</v>
      </c>
      <c r="B717" s="1" t="s">
        <v>95</v>
      </c>
      <c r="C717" s="4">
        <v>71</v>
      </c>
      <c r="D717" s="8">
        <v>5.07</v>
      </c>
      <c r="E717" s="4">
        <v>29</v>
      </c>
      <c r="F717" s="8">
        <v>4.1500000000000004</v>
      </c>
      <c r="G717" s="4">
        <v>42</v>
      </c>
      <c r="H717" s="8">
        <v>6.13</v>
      </c>
      <c r="I717" s="4">
        <v>0</v>
      </c>
    </row>
    <row r="718" spans="1:9" x14ac:dyDescent="0.2">
      <c r="A718" s="2">
        <v>6</v>
      </c>
      <c r="B718" s="1" t="s">
        <v>94</v>
      </c>
      <c r="C718" s="4">
        <v>65</v>
      </c>
      <c r="D718" s="8">
        <v>4.6399999999999997</v>
      </c>
      <c r="E718" s="4">
        <v>15</v>
      </c>
      <c r="F718" s="8">
        <v>2.15</v>
      </c>
      <c r="G718" s="4">
        <v>50</v>
      </c>
      <c r="H718" s="8">
        <v>7.3</v>
      </c>
      <c r="I718" s="4">
        <v>0</v>
      </c>
    </row>
    <row r="719" spans="1:9" x14ac:dyDescent="0.2">
      <c r="A719" s="2">
        <v>7</v>
      </c>
      <c r="B719" s="1" t="s">
        <v>107</v>
      </c>
      <c r="C719" s="4">
        <v>63</v>
      </c>
      <c r="D719" s="8">
        <v>4.5</v>
      </c>
      <c r="E719" s="4">
        <v>18</v>
      </c>
      <c r="F719" s="8">
        <v>2.58</v>
      </c>
      <c r="G719" s="4">
        <v>45</v>
      </c>
      <c r="H719" s="8">
        <v>6.57</v>
      </c>
      <c r="I719" s="4">
        <v>0</v>
      </c>
    </row>
    <row r="720" spans="1:9" x14ac:dyDescent="0.2">
      <c r="A720" s="2">
        <v>8</v>
      </c>
      <c r="B720" s="1" t="s">
        <v>96</v>
      </c>
      <c r="C720" s="4">
        <v>55</v>
      </c>
      <c r="D720" s="8">
        <v>3.93</v>
      </c>
      <c r="E720" s="4">
        <v>10</v>
      </c>
      <c r="F720" s="8">
        <v>1.43</v>
      </c>
      <c r="G720" s="4">
        <v>45</v>
      </c>
      <c r="H720" s="8">
        <v>6.57</v>
      </c>
      <c r="I720" s="4">
        <v>0</v>
      </c>
    </row>
    <row r="721" spans="1:9" x14ac:dyDescent="0.2">
      <c r="A721" s="2">
        <v>9</v>
      </c>
      <c r="B721" s="1" t="s">
        <v>108</v>
      </c>
      <c r="C721" s="4">
        <v>51</v>
      </c>
      <c r="D721" s="8">
        <v>3.64</v>
      </c>
      <c r="E721" s="4">
        <v>37</v>
      </c>
      <c r="F721" s="8">
        <v>5.3</v>
      </c>
      <c r="G721" s="4">
        <v>14</v>
      </c>
      <c r="H721" s="8">
        <v>2.04</v>
      </c>
      <c r="I721" s="4">
        <v>0</v>
      </c>
    </row>
    <row r="722" spans="1:9" x14ac:dyDescent="0.2">
      <c r="A722" s="2">
        <v>9</v>
      </c>
      <c r="B722" s="1" t="s">
        <v>113</v>
      </c>
      <c r="C722" s="4">
        <v>51</v>
      </c>
      <c r="D722" s="8">
        <v>3.64</v>
      </c>
      <c r="E722" s="4">
        <v>47</v>
      </c>
      <c r="F722" s="8">
        <v>6.73</v>
      </c>
      <c r="G722" s="4">
        <v>4</v>
      </c>
      <c r="H722" s="8">
        <v>0.57999999999999996</v>
      </c>
      <c r="I722" s="4">
        <v>0</v>
      </c>
    </row>
    <row r="723" spans="1:9" x14ac:dyDescent="0.2">
      <c r="A723" s="2">
        <v>11</v>
      </c>
      <c r="B723" s="1" t="s">
        <v>103</v>
      </c>
      <c r="C723" s="4">
        <v>48</v>
      </c>
      <c r="D723" s="8">
        <v>3.43</v>
      </c>
      <c r="E723" s="4">
        <v>30</v>
      </c>
      <c r="F723" s="8">
        <v>4.3</v>
      </c>
      <c r="G723" s="4">
        <v>18</v>
      </c>
      <c r="H723" s="8">
        <v>2.63</v>
      </c>
      <c r="I723" s="4">
        <v>0</v>
      </c>
    </row>
    <row r="724" spans="1:9" x14ac:dyDescent="0.2">
      <c r="A724" s="2">
        <v>12</v>
      </c>
      <c r="B724" s="1" t="s">
        <v>98</v>
      </c>
      <c r="C724" s="4">
        <v>40</v>
      </c>
      <c r="D724" s="8">
        <v>2.86</v>
      </c>
      <c r="E724" s="4">
        <v>11</v>
      </c>
      <c r="F724" s="8">
        <v>1.58</v>
      </c>
      <c r="G724" s="4">
        <v>29</v>
      </c>
      <c r="H724" s="8">
        <v>4.2300000000000004</v>
      </c>
      <c r="I724" s="4">
        <v>0</v>
      </c>
    </row>
    <row r="725" spans="1:9" x14ac:dyDescent="0.2">
      <c r="A725" s="2">
        <v>13</v>
      </c>
      <c r="B725" s="1" t="s">
        <v>104</v>
      </c>
      <c r="C725" s="4">
        <v>37</v>
      </c>
      <c r="D725" s="8">
        <v>2.64</v>
      </c>
      <c r="E725" s="4">
        <v>23</v>
      </c>
      <c r="F725" s="8">
        <v>3.3</v>
      </c>
      <c r="G725" s="4">
        <v>14</v>
      </c>
      <c r="H725" s="8">
        <v>2.04</v>
      </c>
      <c r="I725" s="4">
        <v>0</v>
      </c>
    </row>
    <row r="726" spans="1:9" x14ac:dyDescent="0.2">
      <c r="A726" s="2">
        <v>14</v>
      </c>
      <c r="B726" s="1" t="s">
        <v>97</v>
      </c>
      <c r="C726" s="4">
        <v>33</v>
      </c>
      <c r="D726" s="8">
        <v>2.36</v>
      </c>
      <c r="E726" s="4">
        <v>11</v>
      </c>
      <c r="F726" s="8">
        <v>1.58</v>
      </c>
      <c r="G726" s="4">
        <v>22</v>
      </c>
      <c r="H726" s="8">
        <v>3.21</v>
      </c>
      <c r="I726" s="4">
        <v>0</v>
      </c>
    </row>
    <row r="727" spans="1:9" x14ac:dyDescent="0.2">
      <c r="A727" s="2">
        <v>15</v>
      </c>
      <c r="B727" s="1" t="s">
        <v>109</v>
      </c>
      <c r="C727" s="4">
        <v>30</v>
      </c>
      <c r="D727" s="8">
        <v>2.14</v>
      </c>
      <c r="E727" s="4">
        <v>13</v>
      </c>
      <c r="F727" s="8">
        <v>1.86</v>
      </c>
      <c r="G727" s="4">
        <v>17</v>
      </c>
      <c r="H727" s="8">
        <v>2.48</v>
      </c>
      <c r="I727" s="4">
        <v>0</v>
      </c>
    </row>
    <row r="728" spans="1:9" x14ac:dyDescent="0.2">
      <c r="A728" s="2">
        <v>16</v>
      </c>
      <c r="B728" s="1" t="s">
        <v>102</v>
      </c>
      <c r="C728" s="4">
        <v>26</v>
      </c>
      <c r="D728" s="8">
        <v>1.86</v>
      </c>
      <c r="E728" s="4">
        <v>19</v>
      </c>
      <c r="F728" s="8">
        <v>2.72</v>
      </c>
      <c r="G728" s="4">
        <v>7</v>
      </c>
      <c r="H728" s="8">
        <v>1.02</v>
      </c>
      <c r="I728" s="4">
        <v>0</v>
      </c>
    </row>
    <row r="729" spans="1:9" x14ac:dyDescent="0.2">
      <c r="A729" s="2">
        <v>17</v>
      </c>
      <c r="B729" s="1" t="s">
        <v>116</v>
      </c>
      <c r="C729" s="4">
        <v>23</v>
      </c>
      <c r="D729" s="8">
        <v>1.64</v>
      </c>
      <c r="E729" s="4">
        <v>0</v>
      </c>
      <c r="F729" s="8">
        <v>0</v>
      </c>
      <c r="G729" s="4">
        <v>17</v>
      </c>
      <c r="H729" s="8">
        <v>2.48</v>
      </c>
      <c r="I729" s="4">
        <v>0</v>
      </c>
    </row>
    <row r="730" spans="1:9" x14ac:dyDescent="0.2">
      <c r="A730" s="2">
        <v>18</v>
      </c>
      <c r="B730" s="1" t="s">
        <v>114</v>
      </c>
      <c r="C730" s="4">
        <v>22</v>
      </c>
      <c r="D730" s="8">
        <v>1.57</v>
      </c>
      <c r="E730" s="4">
        <v>6</v>
      </c>
      <c r="F730" s="8">
        <v>0.86</v>
      </c>
      <c r="G730" s="4">
        <v>14</v>
      </c>
      <c r="H730" s="8">
        <v>2.04</v>
      </c>
      <c r="I730" s="4">
        <v>2</v>
      </c>
    </row>
    <row r="731" spans="1:9" x14ac:dyDescent="0.2">
      <c r="A731" s="2">
        <v>19</v>
      </c>
      <c r="B731" s="1" t="s">
        <v>101</v>
      </c>
      <c r="C731" s="4">
        <v>21</v>
      </c>
      <c r="D731" s="8">
        <v>1.5</v>
      </c>
      <c r="E731" s="4">
        <v>4</v>
      </c>
      <c r="F731" s="8">
        <v>0.56999999999999995</v>
      </c>
      <c r="G731" s="4">
        <v>17</v>
      </c>
      <c r="H731" s="8">
        <v>2.48</v>
      </c>
      <c r="I731" s="4">
        <v>0</v>
      </c>
    </row>
    <row r="732" spans="1:9" x14ac:dyDescent="0.2">
      <c r="A732" s="2">
        <v>20</v>
      </c>
      <c r="B732" s="1" t="s">
        <v>100</v>
      </c>
      <c r="C732" s="4">
        <v>20</v>
      </c>
      <c r="D732" s="8">
        <v>1.43</v>
      </c>
      <c r="E732" s="4">
        <v>3</v>
      </c>
      <c r="F732" s="8">
        <v>0.43</v>
      </c>
      <c r="G732" s="4">
        <v>17</v>
      </c>
      <c r="H732" s="8">
        <v>2.48</v>
      </c>
      <c r="I732" s="4">
        <v>0</v>
      </c>
    </row>
    <row r="733" spans="1:9" x14ac:dyDescent="0.2">
      <c r="A733" s="1"/>
      <c r="C733" s="4"/>
      <c r="D733" s="8"/>
      <c r="E733" s="4"/>
      <c r="F733" s="8"/>
      <c r="G733" s="4"/>
      <c r="H733" s="8"/>
      <c r="I733" s="4"/>
    </row>
    <row r="734" spans="1:9" x14ac:dyDescent="0.2">
      <c r="A734" s="1" t="s">
        <v>33</v>
      </c>
      <c r="C734" s="4"/>
      <c r="D734" s="8"/>
      <c r="E734" s="4"/>
      <c r="F734" s="8"/>
      <c r="G734" s="4"/>
      <c r="H734" s="8"/>
      <c r="I734" s="4"/>
    </row>
    <row r="735" spans="1:9" x14ac:dyDescent="0.2">
      <c r="A735" s="2">
        <v>1</v>
      </c>
      <c r="B735" s="1" t="s">
        <v>111</v>
      </c>
      <c r="C735" s="4">
        <v>131</v>
      </c>
      <c r="D735" s="8">
        <v>9.1</v>
      </c>
      <c r="E735" s="4">
        <v>118</v>
      </c>
      <c r="F735" s="8">
        <v>15.71</v>
      </c>
      <c r="G735" s="4">
        <v>13</v>
      </c>
      <c r="H735" s="8">
        <v>1.91</v>
      </c>
      <c r="I735" s="4">
        <v>0</v>
      </c>
    </row>
    <row r="736" spans="1:9" x14ac:dyDescent="0.2">
      <c r="A736" s="2">
        <v>2</v>
      </c>
      <c r="B736" s="1" t="s">
        <v>110</v>
      </c>
      <c r="C736" s="4">
        <v>129</v>
      </c>
      <c r="D736" s="8">
        <v>8.9600000000000009</v>
      </c>
      <c r="E736" s="4">
        <v>98</v>
      </c>
      <c r="F736" s="8">
        <v>13.05</v>
      </c>
      <c r="G736" s="4">
        <v>31</v>
      </c>
      <c r="H736" s="8">
        <v>4.57</v>
      </c>
      <c r="I736" s="4">
        <v>0</v>
      </c>
    </row>
    <row r="737" spans="1:9" x14ac:dyDescent="0.2">
      <c r="A737" s="2">
        <v>3</v>
      </c>
      <c r="B737" s="1" t="s">
        <v>126</v>
      </c>
      <c r="C737" s="4">
        <v>110</v>
      </c>
      <c r="D737" s="8">
        <v>7.64</v>
      </c>
      <c r="E737" s="4">
        <v>65</v>
      </c>
      <c r="F737" s="8">
        <v>8.66</v>
      </c>
      <c r="G737" s="4">
        <v>45</v>
      </c>
      <c r="H737" s="8">
        <v>6.63</v>
      </c>
      <c r="I737" s="4">
        <v>0</v>
      </c>
    </row>
    <row r="738" spans="1:9" x14ac:dyDescent="0.2">
      <c r="A738" s="2">
        <v>4</v>
      </c>
      <c r="B738" s="1" t="s">
        <v>105</v>
      </c>
      <c r="C738" s="4">
        <v>106</v>
      </c>
      <c r="D738" s="8">
        <v>7.37</v>
      </c>
      <c r="E738" s="4">
        <v>64</v>
      </c>
      <c r="F738" s="8">
        <v>8.52</v>
      </c>
      <c r="G738" s="4">
        <v>42</v>
      </c>
      <c r="H738" s="8">
        <v>6.19</v>
      </c>
      <c r="I738" s="4">
        <v>0</v>
      </c>
    </row>
    <row r="739" spans="1:9" x14ac:dyDescent="0.2">
      <c r="A739" s="2">
        <v>5</v>
      </c>
      <c r="B739" s="1" t="s">
        <v>94</v>
      </c>
      <c r="C739" s="4">
        <v>69</v>
      </c>
      <c r="D739" s="8">
        <v>4.79</v>
      </c>
      <c r="E739" s="4">
        <v>10</v>
      </c>
      <c r="F739" s="8">
        <v>1.33</v>
      </c>
      <c r="G739" s="4">
        <v>59</v>
      </c>
      <c r="H739" s="8">
        <v>8.69</v>
      </c>
      <c r="I739" s="4">
        <v>0</v>
      </c>
    </row>
    <row r="740" spans="1:9" x14ac:dyDescent="0.2">
      <c r="A740" s="2">
        <v>6</v>
      </c>
      <c r="B740" s="1" t="s">
        <v>112</v>
      </c>
      <c r="C740" s="4">
        <v>68</v>
      </c>
      <c r="D740" s="8">
        <v>4.7300000000000004</v>
      </c>
      <c r="E740" s="4">
        <v>57</v>
      </c>
      <c r="F740" s="8">
        <v>7.59</v>
      </c>
      <c r="G740" s="4">
        <v>11</v>
      </c>
      <c r="H740" s="8">
        <v>1.62</v>
      </c>
      <c r="I740" s="4">
        <v>0</v>
      </c>
    </row>
    <row r="741" spans="1:9" x14ac:dyDescent="0.2">
      <c r="A741" s="2">
        <v>7</v>
      </c>
      <c r="B741" s="1" t="s">
        <v>95</v>
      </c>
      <c r="C741" s="4">
        <v>65</v>
      </c>
      <c r="D741" s="8">
        <v>4.5199999999999996</v>
      </c>
      <c r="E741" s="4">
        <v>32</v>
      </c>
      <c r="F741" s="8">
        <v>4.26</v>
      </c>
      <c r="G741" s="4">
        <v>33</v>
      </c>
      <c r="H741" s="8">
        <v>4.8600000000000003</v>
      </c>
      <c r="I741" s="4">
        <v>0</v>
      </c>
    </row>
    <row r="742" spans="1:9" x14ac:dyDescent="0.2">
      <c r="A742" s="2">
        <v>7</v>
      </c>
      <c r="B742" s="1" t="s">
        <v>103</v>
      </c>
      <c r="C742" s="4">
        <v>65</v>
      </c>
      <c r="D742" s="8">
        <v>4.5199999999999996</v>
      </c>
      <c r="E742" s="4">
        <v>38</v>
      </c>
      <c r="F742" s="8">
        <v>5.0599999999999996</v>
      </c>
      <c r="G742" s="4">
        <v>27</v>
      </c>
      <c r="H742" s="8">
        <v>3.98</v>
      </c>
      <c r="I742" s="4">
        <v>0</v>
      </c>
    </row>
    <row r="743" spans="1:9" x14ac:dyDescent="0.2">
      <c r="A743" s="2">
        <v>9</v>
      </c>
      <c r="B743" s="1" t="s">
        <v>102</v>
      </c>
      <c r="C743" s="4">
        <v>64</v>
      </c>
      <c r="D743" s="8">
        <v>4.45</v>
      </c>
      <c r="E743" s="4">
        <v>29</v>
      </c>
      <c r="F743" s="8">
        <v>3.86</v>
      </c>
      <c r="G743" s="4">
        <v>35</v>
      </c>
      <c r="H743" s="8">
        <v>5.15</v>
      </c>
      <c r="I743" s="4">
        <v>0</v>
      </c>
    </row>
    <row r="744" spans="1:9" x14ac:dyDescent="0.2">
      <c r="A744" s="2">
        <v>10</v>
      </c>
      <c r="B744" s="1" t="s">
        <v>107</v>
      </c>
      <c r="C744" s="4">
        <v>62</v>
      </c>
      <c r="D744" s="8">
        <v>4.3099999999999996</v>
      </c>
      <c r="E744" s="4">
        <v>29</v>
      </c>
      <c r="F744" s="8">
        <v>3.86</v>
      </c>
      <c r="G744" s="4">
        <v>33</v>
      </c>
      <c r="H744" s="8">
        <v>4.8600000000000003</v>
      </c>
      <c r="I744" s="4">
        <v>0</v>
      </c>
    </row>
    <row r="745" spans="1:9" x14ac:dyDescent="0.2">
      <c r="A745" s="2">
        <v>11</v>
      </c>
      <c r="B745" s="1" t="s">
        <v>96</v>
      </c>
      <c r="C745" s="4">
        <v>49</v>
      </c>
      <c r="D745" s="8">
        <v>3.41</v>
      </c>
      <c r="E745" s="4">
        <v>14</v>
      </c>
      <c r="F745" s="8">
        <v>1.86</v>
      </c>
      <c r="G745" s="4">
        <v>35</v>
      </c>
      <c r="H745" s="8">
        <v>5.15</v>
      </c>
      <c r="I745" s="4">
        <v>0</v>
      </c>
    </row>
    <row r="746" spans="1:9" x14ac:dyDescent="0.2">
      <c r="A746" s="2">
        <v>12</v>
      </c>
      <c r="B746" s="1" t="s">
        <v>108</v>
      </c>
      <c r="C746" s="4">
        <v>40</v>
      </c>
      <c r="D746" s="8">
        <v>2.78</v>
      </c>
      <c r="E746" s="4">
        <v>35</v>
      </c>
      <c r="F746" s="8">
        <v>4.66</v>
      </c>
      <c r="G746" s="4">
        <v>5</v>
      </c>
      <c r="H746" s="8">
        <v>0.74</v>
      </c>
      <c r="I746" s="4">
        <v>0</v>
      </c>
    </row>
    <row r="747" spans="1:9" x14ac:dyDescent="0.2">
      <c r="A747" s="2">
        <v>13</v>
      </c>
      <c r="B747" s="1" t="s">
        <v>101</v>
      </c>
      <c r="C747" s="4">
        <v>35</v>
      </c>
      <c r="D747" s="8">
        <v>2.4300000000000002</v>
      </c>
      <c r="E747" s="4">
        <v>12</v>
      </c>
      <c r="F747" s="8">
        <v>1.6</v>
      </c>
      <c r="G747" s="4">
        <v>23</v>
      </c>
      <c r="H747" s="8">
        <v>3.39</v>
      </c>
      <c r="I747" s="4">
        <v>0</v>
      </c>
    </row>
    <row r="748" spans="1:9" x14ac:dyDescent="0.2">
      <c r="A748" s="2">
        <v>14</v>
      </c>
      <c r="B748" s="1" t="s">
        <v>104</v>
      </c>
      <c r="C748" s="4">
        <v>32</v>
      </c>
      <c r="D748" s="8">
        <v>2.2200000000000002</v>
      </c>
      <c r="E748" s="4">
        <v>20</v>
      </c>
      <c r="F748" s="8">
        <v>2.66</v>
      </c>
      <c r="G748" s="4">
        <v>12</v>
      </c>
      <c r="H748" s="8">
        <v>1.77</v>
      </c>
      <c r="I748" s="4">
        <v>0</v>
      </c>
    </row>
    <row r="749" spans="1:9" x14ac:dyDescent="0.2">
      <c r="A749" s="2">
        <v>15</v>
      </c>
      <c r="B749" s="1" t="s">
        <v>113</v>
      </c>
      <c r="C749" s="4">
        <v>31</v>
      </c>
      <c r="D749" s="8">
        <v>2.15</v>
      </c>
      <c r="E749" s="4">
        <v>26</v>
      </c>
      <c r="F749" s="8">
        <v>3.46</v>
      </c>
      <c r="G749" s="4">
        <v>5</v>
      </c>
      <c r="H749" s="8">
        <v>0.74</v>
      </c>
      <c r="I749" s="4">
        <v>0</v>
      </c>
    </row>
    <row r="750" spans="1:9" x14ac:dyDescent="0.2">
      <c r="A750" s="2">
        <v>16</v>
      </c>
      <c r="B750" s="1" t="s">
        <v>109</v>
      </c>
      <c r="C750" s="4">
        <v>28</v>
      </c>
      <c r="D750" s="8">
        <v>1.95</v>
      </c>
      <c r="E750" s="4">
        <v>14</v>
      </c>
      <c r="F750" s="8">
        <v>1.86</v>
      </c>
      <c r="G750" s="4">
        <v>14</v>
      </c>
      <c r="H750" s="8">
        <v>2.06</v>
      </c>
      <c r="I750" s="4">
        <v>0</v>
      </c>
    </row>
    <row r="751" spans="1:9" x14ac:dyDescent="0.2">
      <c r="A751" s="2">
        <v>17</v>
      </c>
      <c r="B751" s="1" t="s">
        <v>115</v>
      </c>
      <c r="C751" s="4">
        <v>23</v>
      </c>
      <c r="D751" s="8">
        <v>1.6</v>
      </c>
      <c r="E751" s="4">
        <v>8</v>
      </c>
      <c r="F751" s="8">
        <v>1.07</v>
      </c>
      <c r="G751" s="4">
        <v>15</v>
      </c>
      <c r="H751" s="8">
        <v>2.21</v>
      </c>
      <c r="I751" s="4">
        <v>0</v>
      </c>
    </row>
    <row r="752" spans="1:9" x14ac:dyDescent="0.2">
      <c r="A752" s="2">
        <v>17</v>
      </c>
      <c r="B752" s="1" t="s">
        <v>116</v>
      </c>
      <c r="C752" s="4">
        <v>23</v>
      </c>
      <c r="D752" s="8">
        <v>1.6</v>
      </c>
      <c r="E752" s="4">
        <v>0</v>
      </c>
      <c r="F752" s="8">
        <v>0</v>
      </c>
      <c r="G752" s="4">
        <v>17</v>
      </c>
      <c r="H752" s="8">
        <v>2.5</v>
      </c>
      <c r="I752" s="4">
        <v>0</v>
      </c>
    </row>
    <row r="753" spans="1:9" x14ac:dyDescent="0.2">
      <c r="A753" s="2">
        <v>19</v>
      </c>
      <c r="B753" s="1" t="s">
        <v>123</v>
      </c>
      <c r="C753" s="4">
        <v>17</v>
      </c>
      <c r="D753" s="8">
        <v>1.18</v>
      </c>
      <c r="E753" s="4">
        <v>0</v>
      </c>
      <c r="F753" s="8">
        <v>0</v>
      </c>
      <c r="G753" s="4">
        <v>16</v>
      </c>
      <c r="H753" s="8">
        <v>2.36</v>
      </c>
      <c r="I753" s="4">
        <v>1</v>
      </c>
    </row>
    <row r="754" spans="1:9" x14ac:dyDescent="0.2">
      <c r="A754" s="2">
        <v>20</v>
      </c>
      <c r="B754" s="1" t="s">
        <v>122</v>
      </c>
      <c r="C754" s="4">
        <v>16</v>
      </c>
      <c r="D754" s="8">
        <v>1.1100000000000001</v>
      </c>
      <c r="E754" s="4">
        <v>12</v>
      </c>
      <c r="F754" s="8">
        <v>1.6</v>
      </c>
      <c r="G754" s="4">
        <v>4</v>
      </c>
      <c r="H754" s="8">
        <v>0.59</v>
      </c>
      <c r="I754" s="4">
        <v>0</v>
      </c>
    </row>
    <row r="755" spans="1:9" x14ac:dyDescent="0.2">
      <c r="A755" s="1"/>
      <c r="C755" s="4"/>
      <c r="D755" s="8"/>
      <c r="E755" s="4"/>
      <c r="F755" s="8"/>
      <c r="G755" s="4"/>
      <c r="H755" s="8"/>
      <c r="I755" s="4"/>
    </row>
    <row r="756" spans="1:9" x14ac:dyDescent="0.2">
      <c r="A756" s="1" t="s">
        <v>34</v>
      </c>
      <c r="C756" s="4"/>
      <c r="D756" s="8"/>
      <c r="E756" s="4"/>
      <c r="F756" s="8"/>
      <c r="G756" s="4"/>
      <c r="H756" s="8"/>
      <c r="I756" s="4"/>
    </row>
    <row r="757" spans="1:9" x14ac:dyDescent="0.2">
      <c r="A757" s="2">
        <v>1</v>
      </c>
      <c r="B757" s="1" t="s">
        <v>110</v>
      </c>
      <c r="C757" s="4">
        <v>210</v>
      </c>
      <c r="D757" s="8">
        <v>11.38</v>
      </c>
      <c r="E757" s="4">
        <v>184</v>
      </c>
      <c r="F757" s="8">
        <v>18.93</v>
      </c>
      <c r="G757" s="4">
        <v>26</v>
      </c>
      <c r="H757" s="8">
        <v>3.02</v>
      </c>
      <c r="I757" s="4">
        <v>0</v>
      </c>
    </row>
    <row r="758" spans="1:9" x14ac:dyDescent="0.2">
      <c r="A758" s="2">
        <v>2</v>
      </c>
      <c r="B758" s="1" t="s">
        <v>111</v>
      </c>
      <c r="C758" s="4">
        <v>192</v>
      </c>
      <c r="D758" s="8">
        <v>10.41</v>
      </c>
      <c r="E758" s="4">
        <v>159</v>
      </c>
      <c r="F758" s="8">
        <v>16.36</v>
      </c>
      <c r="G758" s="4">
        <v>33</v>
      </c>
      <c r="H758" s="8">
        <v>3.83</v>
      </c>
      <c r="I758" s="4">
        <v>0</v>
      </c>
    </row>
    <row r="759" spans="1:9" x14ac:dyDescent="0.2">
      <c r="A759" s="2">
        <v>3</v>
      </c>
      <c r="B759" s="1" t="s">
        <v>112</v>
      </c>
      <c r="C759" s="4">
        <v>110</v>
      </c>
      <c r="D759" s="8">
        <v>5.96</v>
      </c>
      <c r="E759" s="4">
        <v>82</v>
      </c>
      <c r="F759" s="8">
        <v>8.44</v>
      </c>
      <c r="G759" s="4">
        <v>24</v>
      </c>
      <c r="H759" s="8">
        <v>2.79</v>
      </c>
      <c r="I759" s="4">
        <v>0</v>
      </c>
    </row>
    <row r="760" spans="1:9" x14ac:dyDescent="0.2">
      <c r="A760" s="2">
        <v>4</v>
      </c>
      <c r="B760" s="1" t="s">
        <v>105</v>
      </c>
      <c r="C760" s="4">
        <v>109</v>
      </c>
      <c r="D760" s="8">
        <v>5.91</v>
      </c>
      <c r="E760" s="4">
        <v>57</v>
      </c>
      <c r="F760" s="8">
        <v>5.86</v>
      </c>
      <c r="G760" s="4">
        <v>52</v>
      </c>
      <c r="H760" s="8">
        <v>6.04</v>
      </c>
      <c r="I760" s="4">
        <v>0</v>
      </c>
    </row>
    <row r="761" spans="1:9" x14ac:dyDescent="0.2">
      <c r="A761" s="2">
        <v>5</v>
      </c>
      <c r="B761" s="1" t="s">
        <v>94</v>
      </c>
      <c r="C761" s="4">
        <v>106</v>
      </c>
      <c r="D761" s="8">
        <v>5.75</v>
      </c>
      <c r="E761" s="4">
        <v>26</v>
      </c>
      <c r="F761" s="8">
        <v>2.67</v>
      </c>
      <c r="G761" s="4">
        <v>80</v>
      </c>
      <c r="H761" s="8">
        <v>9.2899999999999991</v>
      </c>
      <c r="I761" s="4">
        <v>0</v>
      </c>
    </row>
    <row r="762" spans="1:9" x14ac:dyDescent="0.2">
      <c r="A762" s="2">
        <v>6</v>
      </c>
      <c r="B762" s="1" t="s">
        <v>95</v>
      </c>
      <c r="C762" s="4">
        <v>90</v>
      </c>
      <c r="D762" s="8">
        <v>4.88</v>
      </c>
      <c r="E762" s="4">
        <v>37</v>
      </c>
      <c r="F762" s="8">
        <v>3.81</v>
      </c>
      <c r="G762" s="4">
        <v>53</v>
      </c>
      <c r="H762" s="8">
        <v>6.16</v>
      </c>
      <c r="I762" s="4">
        <v>0</v>
      </c>
    </row>
    <row r="763" spans="1:9" x14ac:dyDescent="0.2">
      <c r="A763" s="2">
        <v>7</v>
      </c>
      <c r="B763" s="1" t="s">
        <v>113</v>
      </c>
      <c r="C763" s="4">
        <v>88</v>
      </c>
      <c r="D763" s="8">
        <v>4.7699999999999996</v>
      </c>
      <c r="E763" s="4">
        <v>76</v>
      </c>
      <c r="F763" s="8">
        <v>7.82</v>
      </c>
      <c r="G763" s="4">
        <v>12</v>
      </c>
      <c r="H763" s="8">
        <v>1.39</v>
      </c>
      <c r="I763" s="4">
        <v>0</v>
      </c>
    </row>
    <row r="764" spans="1:9" x14ac:dyDescent="0.2">
      <c r="A764" s="2">
        <v>8</v>
      </c>
      <c r="B764" s="1" t="s">
        <v>107</v>
      </c>
      <c r="C764" s="4">
        <v>82</v>
      </c>
      <c r="D764" s="8">
        <v>4.4400000000000004</v>
      </c>
      <c r="E764" s="4">
        <v>19</v>
      </c>
      <c r="F764" s="8">
        <v>1.95</v>
      </c>
      <c r="G764" s="4">
        <v>62</v>
      </c>
      <c r="H764" s="8">
        <v>7.2</v>
      </c>
      <c r="I764" s="4">
        <v>1</v>
      </c>
    </row>
    <row r="765" spans="1:9" x14ac:dyDescent="0.2">
      <c r="A765" s="2">
        <v>9</v>
      </c>
      <c r="B765" s="1" t="s">
        <v>125</v>
      </c>
      <c r="C765" s="4">
        <v>71</v>
      </c>
      <c r="D765" s="8">
        <v>3.85</v>
      </c>
      <c r="E765" s="4">
        <v>40</v>
      </c>
      <c r="F765" s="8">
        <v>4.12</v>
      </c>
      <c r="G765" s="4">
        <v>31</v>
      </c>
      <c r="H765" s="8">
        <v>3.6</v>
      </c>
      <c r="I765" s="4">
        <v>0</v>
      </c>
    </row>
    <row r="766" spans="1:9" x14ac:dyDescent="0.2">
      <c r="A766" s="2">
        <v>10</v>
      </c>
      <c r="B766" s="1" t="s">
        <v>96</v>
      </c>
      <c r="C766" s="4">
        <v>63</v>
      </c>
      <c r="D766" s="8">
        <v>3.41</v>
      </c>
      <c r="E766" s="4">
        <v>15</v>
      </c>
      <c r="F766" s="8">
        <v>1.54</v>
      </c>
      <c r="G766" s="4">
        <v>48</v>
      </c>
      <c r="H766" s="8">
        <v>5.57</v>
      </c>
      <c r="I766" s="4">
        <v>0</v>
      </c>
    </row>
    <row r="767" spans="1:9" x14ac:dyDescent="0.2">
      <c r="A767" s="2">
        <v>11</v>
      </c>
      <c r="B767" s="1" t="s">
        <v>103</v>
      </c>
      <c r="C767" s="4">
        <v>61</v>
      </c>
      <c r="D767" s="8">
        <v>3.31</v>
      </c>
      <c r="E767" s="4">
        <v>44</v>
      </c>
      <c r="F767" s="8">
        <v>4.53</v>
      </c>
      <c r="G767" s="4">
        <v>17</v>
      </c>
      <c r="H767" s="8">
        <v>1.97</v>
      </c>
      <c r="I767" s="4">
        <v>0</v>
      </c>
    </row>
    <row r="768" spans="1:9" x14ac:dyDescent="0.2">
      <c r="A768" s="2">
        <v>12</v>
      </c>
      <c r="B768" s="1" t="s">
        <v>104</v>
      </c>
      <c r="C768" s="4">
        <v>56</v>
      </c>
      <c r="D768" s="8">
        <v>3.04</v>
      </c>
      <c r="E768" s="4">
        <v>30</v>
      </c>
      <c r="F768" s="8">
        <v>3.09</v>
      </c>
      <c r="G768" s="4">
        <v>26</v>
      </c>
      <c r="H768" s="8">
        <v>3.02</v>
      </c>
      <c r="I768" s="4">
        <v>0</v>
      </c>
    </row>
    <row r="769" spans="1:9" x14ac:dyDescent="0.2">
      <c r="A769" s="2">
        <v>13</v>
      </c>
      <c r="B769" s="1" t="s">
        <v>108</v>
      </c>
      <c r="C769" s="4">
        <v>47</v>
      </c>
      <c r="D769" s="8">
        <v>2.5499999999999998</v>
      </c>
      <c r="E769" s="4">
        <v>33</v>
      </c>
      <c r="F769" s="8">
        <v>3.4</v>
      </c>
      <c r="G769" s="4">
        <v>14</v>
      </c>
      <c r="H769" s="8">
        <v>1.63</v>
      </c>
      <c r="I769" s="4">
        <v>0</v>
      </c>
    </row>
    <row r="770" spans="1:9" x14ac:dyDescent="0.2">
      <c r="A770" s="2">
        <v>14</v>
      </c>
      <c r="B770" s="1" t="s">
        <v>109</v>
      </c>
      <c r="C770" s="4">
        <v>42</v>
      </c>
      <c r="D770" s="8">
        <v>2.2799999999999998</v>
      </c>
      <c r="E770" s="4">
        <v>20</v>
      </c>
      <c r="F770" s="8">
        <v>2.06</v>
      </c>
      <c r="G770" s="4">
        <v>22</v>
      </c>
      <c r="H770" s="8">
        <v>2.56</v>
      </c>
      <c r="I770" s="4">
        <v>0</v>
      </c>
    </row>
    <row r="771" spans="1:9" x14ac:dyDescent="0.2">
      <c r="A771" s="2">
        <v>15</v>
      </c>
      <c r="B771" s="1" t="s">
        <v>98</v>
      </c>
      <c r="C771" s="4">
        <v>41</v>
      </c>
      <c r="D771" s="8">
        <v>2.2200000000000002</v>
      </c>
      <c r="E771" s="4">
        <v>10</v>
      </c>
      <c r="F771" s="8">
        <v>1.03</v>
      </c>
      <c r="G771" s="4">
        <v>31</v>
      </c>
      <c r="H771" s="8">
        <v>3.6</v>
      </c>
      <c r="I771" s="4">
        <v>0</v>
      </c>
    </row>
    <row r="772" spans="1:9" x14ac:dyDescent="0.2">
      <c r="A772" s="2">
        <v>16</v>
      </c>
      <c r="B772" s="1" t="s">
        <v>97</v>
      </c>
      <c r="C772" s="4">
        <v>39</v>
      </c>
      <c r="D772" s="8">
        <v>2.11</v>
      </c>
      <c r="E772" s="4">
        <v>16</v>
      </c>
      <c r="F772" s="8">
        <v>1.65</v>
      </c>
      <c r="G772" s="4">
        <v>23</v>
      </c>
      <c r="H772" s="8">
        <v>2.67</v>
      </c>
      <c r="I772" s="4">
        <v>0</v>
      </c>
    </row>
    <row r="773" spans="1:9" x14ac:dyDescent="0.2">
      <c r="A773" s="2">
        <v>17</v>
      </c>
      <c r="B773" s="1" t="s">
        <v>102</v>
      </c>
      <c r="C773" s="4">
        <v>34</v>
      </c>
      <c r="D773" s="8">
        <v>1.84</v>
      </c>
      <c r="E773" s="4">
        <v>14</v>
      </c>
      <c r="F773" s="8">
        <v>1.44</v>
      </c>
      <c r="G773" s="4">
        <v>20</v>
      </c>
      <c r="H773" s="8">
        <v>2.3199999999999998</v>
      </c>
      <c r="I773" s="4">
        <v>0</v>
      </c>
    </row>
    <row r="774" spans="1:9" x14ac:dyDescent="0.2">
      <c r="A774" s="2">
        <v>17</v>
      </c>
      <c r="B774" s="1" t="s">
        <v>115</v>
      </c>
      <c r="C774" s="4">
        <v>34</v>
      </c>
      <c r="D774" s="8">
        <v>1.84</v>
      </c>
      <c r="E774" s="4">
        <v>19</v>
      </c>
      <c r="F774" s="8">
        <v>1.95</v>
      </c>
      <c r="G774" s="4">
        <v>14</v>
      </c>
      <c r="H774" s="8">
        <v>1.63</v>
      </c>
      <c r="I774" s="4">
        <v>0</v>
      </c>
    </row>
    <row r="775" spans="1:9" x14ac:dyDescent="0.2">
      <c r="A775" s="2">
        <v>19</v>
      </c>
      <c r="B775" s="1" t="s">
        <v>101</v>
      </c>
      <c r="C775" s="4">
        <v>26</v>
      </c>
      <c r="D775" s="8">
        <v>1.41</v>
      </c>
      <c r="E775" s="4">
        <v>5</v>
      </c>
      <c r="F775" s="8">
        <v>0.51</v>
      </c>
      <c r="G775" s="4">
        <v>21</v>
      </c>
      <c r="H775" s="8">
        <v>2.44</v>
      </c>
      <c r="I775" s="4">
        <v>0</v>
      </c>
    </row>
    <row r="776" spans="1:9" x14ac:dyDescent="0.2">
      <c r="A776" s="2">
        <v>19</v>
      </c>
      <c r="B776" s="1" t="s">
        <v>106</v>
      </c>
      <c r="C776" s="4">
        <v>26</v>
      </c>
      <c r="D776" s="8">
        <v>1.41</v>
      </c>
      <c r="E776" s="4">
        <v>4</v>
      </c>
      <c r="F776" s="8">
        <v>0.41</v>
      </c>
      <c r="G776" s="4">
        <v>22</v>
      </c>
      <c r="H776" s="8">
        <v>2.56</v>
      </c>
      <c r="I776" s="4">
        <v>0</v>
      </c>
    </row>
    <row r="777" spans="1:9" x14ac:dyDescent="0.2">
      <c r="A777" s="1"/>
      <c r="C777" s="4"/>
      <c r="D777" s="8"/>
      <c r="E777" s="4"/>
      <c r="F777" s="8"/>
      <c r="G777" s="4"/>
      <c r="H777" s="8"/>
      <c r="I777" s="4"/>
    </row>
    <row r="778" spans="1:9" x14ac:dyDescent="0.2">
      <c r="A778" s="1" t="s">
        <v>35</v>
      </c>
      <c r="C778" s="4"/>
      <c r="D778" s="8"/>
      <c r="E778" s="4"/>
      <c r="F778" s="8"/>
      <c r="G778" s="4"/>
      <c r="H778" s="8"/>
      <c r="I778" s="4"/>
    </row>
    <row r="779" spans="1:9" x14ac:dyDescent="0.2">
      <c r="A779" s="2">
        <v>1</v>
      </c>
      <c r="B779" s="1" t="s">
        <v>110</v>
      </c>
      <c r="C779" s="4">
        <v>220</v>
      </c>
      <c r="D779" s="8">
        <v>7.22</v>
      </c>
      <c r="E779" s="4">
        <v>180</v>
      </c>
      <c r="F779" s="8">
        <v>17.309999999999999</v>
      </c>
      <c r="G779" s="4">
        <v>40</v>
      </c>
      <c r="H779" s="8">
        <v>2.0099999999999998</v>
      </c>
      <c r="I779" s="4">
        <v>0</v>
      </c>
    </row>
    <row r="780" spans="1:9" x14ac:dyDescent="0.2">
      <c r="A780" s="2">
        <v>2</v>
      </c>
      <c r="B780" s="1" t="s">
        <v>107</v>
      </c>
      <c r="C780" s="4">
        <v>218</v>
      </c>
      <c r="D780" s="8">
        <v>7.16</v>
      </c>
      <c r="E780" s="4">
        <v>47</v>
      </c>
      <c r="F780" s="8">
        <v>4.5199999999999996</v>
      </c>
      <c r="G780" s="4">
        <v>170</v>
      </c>
      <c r="H780" s="8">
        <v>8.52</v>
      </c>
      <c r="I780" s="4">
        <v>0</v>
      </c>
    </row>
    <row r="781" spans="1:9" x14ac:dyDescent="0.2">
      <c r="A781" s="2">
        <v>2</v>
      </c>
      <c r="B781" s="1" t="s">
        <v>111</v>
      </c>
      <c r="C781" s="4">
        <v>218</v>
      </c>
      <c r="D781" s="8">
        <v>7.16</v>
      </c>
      <c r="E781" s="4">
        <v>162</v>
      </c>
      <c r="F781" s="8">
        <v>15.58</v>
      </c>
      <c r="G781" s="4">
        <v>56</v>
      </c>
      <c r="H781" s="8">
        <v>2.81</v>
      </c>
      <c r="I781" s="4">
        <v>0</v>
      </c>
    </row>
    <row r="782" spans="1:9" x14ac:dyDescent="0.2">
      <c r="A782" s="2">
        <v>4</v>
      </c>
      <c r="B782" s="1" t="s">
        <v>94</v>
      </c>
      <c r="C782" s="4">
        <v>165</v>
      </c>
      <c r="D782" s="8">
        <v>5.42</v>
      </c>
      <c r="E782" s="4">
        <v>19</v>
      </c>
      <c r="F782" s="8">
        <v>1.83</v>
      </c>
      <c r="G782" s="4">
        <v>146</v>
      </c>
      <c r="H782" s="8">
        <v>7.32</v>
      </c>
      <c r="I782" s="4">
        <v>0</v>
      </c>
    </row>
    <row r="783" spans="1:9" x14ac:dyDescent="0.2">
      <c r="A783" s="2">
        <v>5</v>
      </c>
      <c r="B783" s="1" t="s">
        <v>105</v>
      </c>
      <c r="C783" s="4">
        <v>134</v>
      </c>
      <c r="D783" s="8">
        <v>4.4000000000000004</v>
      </c>
      <c r="E783" s="4">
        <v>64</v>
      </c>
      <c r="F783" s="8">
        <v>6.15</v>
      </c>
      <c r="G783" s="4">
        <v>70</v>
      </c>
      <c r="H783" s="8">
        <v>3.51</v>
      </c>
      <c r="I783" s="4">
        <v>0</v>
      </c>
    </row>
    <row r="784" spans="1:9" x14ac:dyDescent="0.2">
      <c r="A784" s="2">
        <v>6</v>
      </c>
      <c r="B784" s="1" t="s">
        <v>112</v>
      </c>
      <c r="C784" s="4">
        <v>129</v>
      </c>
      <c r="D784" s="8">
        <v>4.24</v>
      </c>
      <c r="E784" s="4">
        <v>91</v>
      </c>
      <c r="F784" s="8">
        <v>8.75</v>
      </c>
      <c r="G784" s="4">
        <v>33</v>
      </c>
      <c r="H784" s="8">
        <v>1.65</v>
      </c>
      <c r="I784" s="4">
        <v>0</v>
      </c>
    </row>
    <row r="785" spans="1:9" x14ac:dyDescent="0.2">
      <c r="A785" s="2">
        <v>7</v>
      </c>
      <c r="B785" s="1" t="s">
        <v>95</v>
      </c>
      <c r="C785" s="4">
        <v>127</v>
      </c>
      <c r="D785" s="8">
        <v>4.17</v>
      </c>
      <c r="E785" s="4">
        <v>24</v>
      </c>
      <c r="F785" s="8">
        <v>2.31</v>
      </c>
      <c r="G785" s="4">
        <v>103</v>
      </c>
      <c r="H785" s="8">
        <v>5.16</v>
      </c>
      <c r="I785" s="4">
        <v>0</v>
      </c>
    </row>
    <row r="786" spans="1:9" x14ac:dyDescent="0.2">
      <c r="A786" s="2">
        <v>8</v>
      </c>
      <c r="B786" s="1" t="s">
        <v>97</v>
      </c>
      <c r="C786" s="4">
        <v>124</v>
      </c>
      <c r="D786" s="8">
        <v>4.07</v>
      </c>
      <c r="E786" s="4">
        <v>22</v>
      </c>
      <c r="F786" s="8">
        <v>2.12</v>
      </c>
      <c r="G786" s="4">
        <v>102</v>
      </c>
      <c r="H786" s="8">
        <v>5.1100000000000003</v>
      </c>
      <c r="I786" s="4">
        <v>0</v>
      </c>
    </row>
    <row r="787" spans="1:9" x14ac:dyDescent="0.2">
      <c r="A787" s="2">
        <v>9</v>
      </c>
      <c r="B787" s="1" t="s">
        <v>96</v>
      </c>
      <c r="C787" s="4">
        <v>122</v>
      </c>
      <c r="D787" s="8">
        <v>4.01</v>
      </c>
      <c r="E787" s="4">
        <v>19</v>
      </c>
      <c r="F787" s="8">
        <v>1.83</v>
      </c>
      <c r="G787" s="4">
        <v>103</v>
      </c>
      <c r="H787" s="8">
        <v>5.16</v>
      </c>
      <c r="I787" s="4">
        <v>0</v>
      </c>
    </row>
    <row r="788" spans="1:9" x14ac:dyDescent="0.2">
      <c r="A788" s="2">
        <v>10</v>
      </c>
      <c r="B788" s="1" t="s">
        <v>98</v>
      </c>
      <c r="C788" s="4">
        <v>106</v>
      </c>
      <c r="D788" s="8">
        <v>3.48</v>
      </c>
      <c r="E788" s="4">
        <v>13</v>
      </c>
      <c r="F788" s="8">
        <v>1.25</v>
      </c>
      <c r="G788" s="4">
        <v>93</v>
      </c>
      <c r="H788" s="8">
        <v>4.66</v>
      </c>
      <c r="I788" s="4">
        <v>0</v>
      </c>
    </row>
    <row r="789" spans="1:9" x14ac:dyDescent="0.2">
      <c r="A789" s="2">
        <v>10</v>
      </c>
      <c r="B789" s="1" t="s">
        <v>104</v>
      </c>
      <c r="C789" s="4">
        <v>106</v>
      </c>
      <c r="D789" s="8">
        <v>3.48</v>
      </c>
      <c r="E789" s="4">
        <v>44</v>
      </c>
      <c r="F789" s="8">
        <v>4.2300000000000004</v>
      </c>
      <c r="G789" s="4">
        <v>62</v>
      </c>
      <c r="H789" s="8">
        <v>3.11</v>
      </c>
      <c r="I789" s="4">
        <v>0</v>
      </c>
    </row>
    <row r="790" spans="1:9" x14ac:dyDescent="0.2">
      <c r="A790" s="2">
        <v>12</v>
      </c>
      <c r="B790" s="1" t="s">
        <v>108</v>
      </c>
      <c r="C790" s="4">
        <v>86</v>
      </c>
      <c r="D790" s="8">
        <v>2.82</v>
      </c>
      <c r="E790" s="4">
        <v>46</v>
      </c>
      <c r="F790" s="8">
        <v>4.42</v>
      </c>
      <c r="G790" s="4">
        <v>39</v>
      </c>
      <c r="H790" s="8">
        <v>1.95</v>
      </c>
      <c r="I790" s="4">
        <v>1</v>
      </c>
    </row>
    <row r="791" spans="1:9" x14ac:dyDescent="0.2">
      <c r="A791" s="2">
        <v>13</v>
      </c>
      <c r="B791" s="1" t="s">
        <v>113</v>
      </c>
      <c r="C791" s="4">
        <v>78</v>
      </c>
      <c r="D791" s="8">
        <v>2.56</v>
      </c>
      <c r="E791" s="4">
        <v>70</v>
      </c>
      <c r="F791" s="8">
        <v>6.73</v>
      </c>
      <c r="G791" s="4">
        <v>8</v>
      </c>
      <c r="H791" s="8">
        <v>0.4</v>
      </c>
      <c r="I791" s="4">
        <v>0</v>
      </c>
    </row>
    <row r="792" spans="1:9" x14ac:dyDescent="0.2">
      <c r="A792" s="2">
        <v>14</v>
      </c>
      <c r="B792" s="1" t="s">
        <v>100</v>
      </c>
      <c r="C792" s="4">
        <v>66</v>
      </c>
      <c r="D792" s="8">
        <v>2.17</v>
      </c>
      <c r="E792" s="4">
        <v>7</v>
      </c>
      <c r="F792" s="8">
        <v>0.67</v>
      </c>
      <c r="G792" s="4">
        <v>59</v>
      </c>
      <c r="H792" s="8">
        <v>2.96</v>
      </c>
      <c r="I792" s="4">
        <v>0</v>
      </c>
    </row>
    <row r="793" spans="1:9" x14ac:dyDescent="0.2">
      <c r="A793" s="2">
        <v>14</v>
      </c>
      <c r="B793" s="1" t="s">
        <v>103</v>
      </c>
      <c r="C793" s="4">
        <v>66</v>
      </c>
      <c r="D793" s="8">
        <v>2.17</v>
      </c>
      <c r="E793" s="4">
        <v>37</v>
      </c>
      <c r="F793" s="8">
        <v>3.56</v>
      </c>
      <c r="G793" s="4">
        <v>29</v>
      </c>
      <c r="H793" s="8">
        <v>1.45</v>
      </c>
      <c r="I793" s="4">
        <v>0</v>
      </c>
    </row>
    <row r="794" spans="1:9" x14ac:dyDescent="0.2">
      <c r="A794" s="2">
        <v>16</v>
      </c>
      <c r="B794" s="1" t="s">
        <v>131</v>
      </c>
      <c r="C794" s="4">
        <v>64</v>
      </c>
      <c r="D794" s="8">
        <v>2.1</v>
      </c>
      <c r="E794" s="4">
        <v>5</v>
      </c>
      <c r="F794" s="8">
        <v>0.48</v>
      </c>
      <c r="G794" s="4">
        <v>59</v>
      </c>
      <c r="H794" s="8">
        <v>2.96</v>
      </c>
      <c r="I794" s="4">
        <v>0</v>
      </c>
    </row>
    <row r="795" spans="1:9" x14ac:dyDescent="0.2">
      <c r="A795" s="2">
        <v>17</v>
      </c>
      <c r="B795" s="1" t="s">
        <v>99</v>
      </c>
      <c r="C795" s="4">
        <v>61</v>
      </c>
      <c r="D795" s="8">
        <v>2</v>
      </c>
      <c r="E795" s="4">
        <v>6</v>
      </c>
      <c r="F795" s="8">
        <v>0.57999999999999996</v>
      </c>
      <c r="G795" s="4">
        <v>55</v>
      </c>
      <c r="H795" s="8">
        <v>2.76</v>
      </c>
      <c r="I795" s="4">
        <v>0</v>
      </c>
    </row>
    <row r="796" spans="1:9" x14ac:dyDescent="0.2">
      <c r="A796" s="2">
        <v>18</v>
      </c>
      <c r="B796" s="1" t="s">
        <v>101</v>
      </c>
      <c r="C796" s="4">
        <v>55</v>
      </c>
      <c r="D796" s="8">
        <v>1.81</v>
      </c>
      <c r="E796" s="4">
        <v>11</v>
      </c>
      <c r="F796" s="8">
        <v>1.06</v>
      </c>
      <c r="G796" s="4">
        <v>44</v>
      </c>
      <c r="H796" s="8">
        <v>2.21</v>
      </c>
      <c r="I796" s="4">
        <v>0</v>
      </c>
    </row>
    <row r="797" spans="1:9" x14ac:dyDescent="0.2">
      <c r="A797" s="2">
        <v>19</v>
      </c>
      <c r="B797" s="1" t="s">
        <v>132</v>
      </c>
      <c r="C797" s="4">
        <v>54</v>
      </c>
      <c r="D797" s="8">
        <v>1.77</v>
      </c>
      <c r="E797" s="4">
        <v>2</v>
      </c>
      <c r="F797" s="8">
        <v>0.19</v>
      </c>
      <c r="G797" s="4">
        <v>52</v>
      </c>
      <c r="H797" s="8">
        <v>2.61</v>
      </c>
      <c r="I797" s="4">
        <v>0</v>
      </c>
    </row>
    <row r="798" spans="1:9" x14ac:dyDescent="0.2">
      <c r="A798" s="2">
        <v>20</v>
      </c>
      <c r="B798" s="1" t="s">
        <v>109</v>
      </c>
      <c r="C798" s="4">
        <v>50</v>
      </c>
      <c r="D798" s="8">
        <v>1.64</v>
      </c>
      <c r="E798" s="4">
        <v>15</v>
      </c>
      <c r="F798" s="8">
        <v>1.44</v>
      </c>
      <c r="G798" s="4">
        <v>35</v>
      </c>
      <c r="H798" s="8">
        <v>1.75</v>
      </c>
      <c r="I798" s="4">
        <v>0</v>
      </c>
    </row>
    <row r="799" spans="1:9" x14ac:dyDescent="0.2">
      <c r="A799" s="1"/>
      <c r="C799" s="4"/>
      <c r="D799" s="8"/>
      <c r="E799" s="4"/>
      <c r="F799" s="8"/>
      <c r="G799" s="4"/>
      <c r="H799" s="8"/>
      <c r="I799" s="4"/>
    </row>
    <row r="800" spans="1:9" x14ac:dyDescent="0.2">
      <c r="A800" s="1" t="s">
        <v>36</v>
      </c>
      <c r="C800" s="4"/>
      <c r="D800" s="8"/>
      <c r="E800" s="4"/>
      <c r="F800" s="8"/>
      <c r="G800" s="4"/>
      <c r="H800" s="8"/>
      <c r="I800" s="4"/>
    </row>
    <row r="801" spans="1:9" x14ac:dyDescent="0.2">
      <c r="A801" s="2">
        <v>1</v>
      </c>
      <c r="B801" s="1" t="s">
        <v>110</v>
      </c>
      <c r="C801" s="4">
        <v>227</v>
      </c>
      <c r="D801" s="8">
        <v>9.8699999999999992</v>
      </c>
      <c r="E801" s="4">
        <v>188</v>
      </c>
      <c r="F801" s="8">
        <v>16.649999999999999</v>
      </c>
      <c r="G801" s="4">
        <v>39</v>
      </c>
      <c r="H801" s="8">
        <v>3.4</v>
      </c>
      <c r="I801" s="4">
        <v>0</v>
      </c>
    </row>
    <row r="802" spans="1:9" x14ac:dyDescent="0.2">
      <c r="A802" s="2">
        <v>2</v>
      </c>
      <c r="B802" s="1" t="s">
        <v>111</v>
      </c>
      <c r="C802" s="4">
        <v>207</v>
      </c>
      <c r="D802" s="8">
        <v>9</v>
      </c>
      <c r="E802" s="4">
        <v>173</v>
      </c>
      <c r="F802" s="8">
        <v>15.32</v>
      </c>
      <c r="G802" s="4">
        <v>34</v>
      </c>
      <c r="H802" s="8">
        <v>2.97</v>
      </c>
      <c r="I802" s="4">
        <v>0</v>
      </c>
    </row>
    <row r="803" spans="1:9" x14ac:dyDescent="0.2">
      <c r="A803" s="2">
        <v>3</v>
      </c>
      <c r="B803" s="1" t="s">
        <v>107</v>
      </c>
      <c r="C803" s="4">
        <v>159</v>
      </c>
      <c r="D803" s="8">
        <v>6.91</v>
      </c>
      <c r="E803" s="4">
        <v>79</v>
      </c>
      <c r="F803" s="8">
        <v>7</v>
      </c>
      <c r="G803" s="4">
        <v>80</v>
      </c>
      <c r="H803" s="8">
        <v>6.98</v>
      </c>
      <c r="I803" s="4">
        <v>0</v>
      </c>
    </row>
    <row r="804" spans="1:9" x14ac:dyDescent="0.2">
      <c r="A804" s="2">
        <v>4</v>
      </c>
      <c r="B804" s="1" t="s">
        <v>105</v>
      </c>
      <c r="C804" s="4">
        <v>134</v>
      </c>
      <c r="D804" s="8">
        <v>5.82</v>
      </c>
      <c r="E804" s="4">
        <v>63</v>
      </c>
      <c r="F804" s="8">
        <v>5.58</v>
      </c>
      <c r="G804" s="4">
        <v>70</v>
      </c>
      <c r="H804" s="8">
        <v>6.11</v>
      </c>
      <c r="I804" s="4">
        <v>1</v>
      </c>
    </row>
    <row r="805" spans="1:9" x14ac:dyDescent="0.2">
      <c r="A805" s="2">
        <v>5</v>
      </c>
      <c r="B805" s="1" t="s">
        <v>94</v>
      </c>
      <c r="C805" s="4">
        <v>132</v>
      </c>
      <c r="D805" s="8">
        <v>5.74</v>
      </c>
      <c r="E805" s="4">
        <v>26</v>
      </c>
      <c r="F805" s="8">
        <v>2.2999999999999998</v>
      </c>
      <c r="G805" s="4">
        <v>106</v>
      </c>
      <c r="H805" s="8">
        <v>9.25</v>
      </c>
      <c r="I805" s="4">
        <v>0</v>
      </c>
    </row>
    <row r="806" spans="1:9" x14ac:dyDescent="0.2">
      <c r="A806" s="2">
        <v>6</v>
      </c>
      <c r="B806" s="1" t="s">
        <v>95</v>
      </c>
      <c r="C806" s="4">
        <v>105</v>
      </c>
      <c r="D806" s="8">
        <v>4.5599999999999996</v>
      </c>
      <c r="E806" s="4">
        <v>27</v>
      </c>
      <c r="F806" s="8">
        <v>2.39</v>
      </c>
      <c r="G806" s="4">
        <v>78</v>
      </c>
      <c r="H806" s="8">
        <v>6.81</v>
      </c>
      <c r="I806" s="4">
        <v>0</v>
      </c>
    </row>
    <row r="807" spans="1:9" x14ac:dyDescent="0.2">
      <c r="A807" s="2">
        <v>7</v>
      </c>
      <c r="B807" s="1" t="s">
        <v>112</v>
      </c>
      <c r="C807" s="4">
        <v>104</v>
      </c>
      <c r="D807" s="8">
        <v>4.5199999999999996</v>
      </c>
      <c r="E807" s="4">
        <v>65</v>
      </c>
      <c r="F807" s="8">
        <v>5.76</v>
      </c>
      <c r="G807" s="4">
        <v>31</v>
      </c>
      <c r="H807" s="8">
        <v>2.71</v>
      </c>
      <c r="I807" s="4">
        <v>1</v>
      </c>
    </row>
    <row r="808" spans="1:9" x14ac:dyDescent="0.2">
      <c r="A808" s="2">
        <v>8</v>
      </c>
      <c r="B808" s="1" t="s">
        <v>113</v>
      </c>
      <c r="C808" s="4">
        <v>102</v>
      </c>
      <c r="D808" s="8">
        <v>4.43</v>
      </c>
      <c r="E808" s="4">
        <v>88</v>
      </c>
      <c r="F808" s="8">
        <v>7.79</v>
      </c>
      <c r="G808" s="4">
        <v>14</v>
      </c>
      <c r="H808" s="8">
        <v>1.22</v>
      </c>
      <c r="I808" s="4">
        <v>0</v>
      </c>
    </row>
    <row r="809" spans="1:9" x14ac:dyDescent="0.2">
      <c r="A809" s="2">
        <v>9</v>
      </c>
      <c r="B809" s="1" t="s">
        <v>125</v>
      </c>
      <c r="C809" s="4">
        <v>94</v>
      </c>
      <c r="D809" s="8">
        <v>4.09</v>
      </c>
      <c r="E809" s="4">
        <v>58</v>
      </c>
      <c r="F809" s="8">
        <v>5.14</v>
      </c>
      <c r="G809" s="4">
        <v>36</v>
      </c>
      <c r="H809" s="8">
        <v>3.14</v>
      </c>
      <c r="I809" s="4">
        <v>0</v>
      </c>
    </row>
    <row r="810" spans="1:9" x14ac:dyDescent="0.2">
      <c r="A810" s="2">
        <v>10</v>
      </c>
      <c r="B810" s="1" t="s">
        <v>104</v>
      </c>
      <c r="C810" s="4">
        <v>82</v>
      </c>
      <c r="D810" s="8">
        <v>3.56</v>
      </c>
      <c r="E810" s="4">
        <v>36</v>
      </c>
      <c r="F810" s="8">
        <v>3.19</v>
      </c>
      <c r="G810" s="4">
        <v>46</v>
      </c>
      <c r="H810" s="8">
        <v>4.01</v>
      </c>
      <c r="I810" s="4">
        <v>0</v>
      </c>
    </row>
    <row r="811" spans="1:9" x14ac:dyDescent="0.2">
      <c r="A811" s="2">
        <v>11</v>
      </c>
      <c r="B811" s="1" t="s">
        <v>103</v>
      </c>
      <c r="C811" s="4">
        <v>70</v>
      </c>
      <c r="D811" s="8">
        <v>3.04</v>
      </c>
      <c r="E811" s="4">
        <v>44</v>
      </c>
      <c r="F811" s="8">
        <v>3.9</v>
      </c>
      <c r="G811" s="4">
        <v>26</v>
      </c>
      <c r="H811" s="8">
        <v>2.27</v>
      </c>
      <c r="I811" s="4">
        <v>0</v>
      </c>
    </row>
    <row r="812" spans="1:9" x14ac:dyDescent="0.2">
      <c r="A812" s="2">
        <v>12</v>
      </c>
      <c r="B812" s="1" t="s">
        <v>108</v>
      </c>
      <c r="C812" s="4">
        <v>69</v>
      </c>
      <c r="D812" s="8">
        <v>3</v>
      </c>
      <c r="E812" s="4">
        <v>35</v>
      </c>
      <c r="F812" s="8">
        <v>3.1</v>
      </c>
      <c r="G812" s="4">
        <v>34</v>
      </c>
      <c r="H812" s="8">
        <v>2.97</v>
      </c>
      <c r="I812" s="4">
        <v>0</v>
      </c>
    </row>
    <row r="813" spans="1:9" x14ac:dyDescent="0.2">
      <c r="A813" s="2">
        <v>13</v>
      </c>
      <c r="B813" s="1" t="s">
        <v>96</v>
      </c>
      <c r="C813" s="4">
        <v>68</v>
      </c>
      <c r="D813" s="8">
        <v>2.96</v>
      </c>
      <c r="E813" s="4">
        <v>13</v>
      </c>
      <c r="F813" s="8">
        <v>1.1499999999999999</v>
      </c>
      <c r="G813" s="4">
        <v>55</v>
      </c>
      <c r="H813" s="8">
        <v>4.8</v>
      </c>
      <c r="I813" s="4">
        <v>0</v>
      </c>
    </row>
    <row r="814" spans="1:9" x14ac:dyDescent="0.2">
      <c r="A814" s="2">
        <v>14</v>
      </c>
      <c r="B814" s="1" t="s">
        <v>101</v>
      </c>
      <c r="C814" s="4">
        <v>60</v>
      </c>
      <c r="D814" s="8">
        <v>2.61</v>
      </c>
      <c r="E814" s="4">
        <v>24</v>
      </c>
      <c r="F814" s="8">
        <v>2.13</v>
      </c>
      <c r="G814" s="4">
        <v>36</v>
      </c>
      <c r="H814" s="8">
        <v>3.14</v>
      </c>
      <c r="I814" s="4">
        <v>0</v>
      </c>
    </row>
    <row r="815" spans="1:9" x14ac:dyDescent="0.2">
      <c r="A815" s="2">
        <v>15</v>
      </c>
      <c r="B815" s="1" t="s">
        <v>102</v>
      </c>
      <c r="C815" s="4">
        <v>51</v>
      </c>
      <c r="D815" s="8">
        <v>2.2200000000000002</v>
      </c>
      <c r="E815" s="4">
        <v>28</v>
      </c>
      <c r="F815" s="8">
        <v>2.48</v>
      </c>
      <c r="G815" s="4">
        <v>23</v>
      </c>
      <c r="H815" s="8">
        <v>2.0099999999999998</v>
      </c>
      <c r="I815" s="4">
        <v>0</v>
      </c>
    </row>
    <row r="816" spans="1:9" x14ac:dyDescent="0.2">
      <c r="A816" s="2">
        <v>16</v>
      </c>
      <c r="B816" s="1" t="s">
        <v>116</v>
      </c>
      <c r="C816" s="4">
        <v>39</v>
      </c>
      <c r="D816" s="8">
        <v>1.69</v>
      </c>
      <c r="E816" s="4">
        <v>0</v>
      </c>
      <c r="F816" s="8">
        <v>0</v>
      </c>
      <c r="G816" s="4">
        <v>26</v>
      </c>
      <c r="H816" s="8">
        <v>2.27</v>
      </c>
      <c r="I816" s="4">
        <v>0</v>
      </c>
    </row>
    <row r="817" spans="1:9" x14ac:dyDescent="0.2">
      <c r="A817" s="2">
        <v>16</v>
      </c>
      <c r="B817" s="1" t="s">
        <v>122</v>
      </c>
      <c r="C817" s="4">
        <v>39</v>
      </c>
      <c r="D817" s="8">
        <v>1.69</v>
      </c>
      <c r="E817" s="4">
        <v>30</v>
      </c>
      <c r="F817" s="8">
        <v>2.66</v>
      </c>
      <c r="G817" s="4">
        <v>9</v>
      </c>
      <c r="H817" s="8">
        <v>0.79</v>
      </c>
      <c r="I817" s="4">
        <v>0</v>
      </c>
    </row>
    <row r="818" spans="1:9" x14ac:dyDescent="0.2">
      <c r="A818" s="2">
        <v>18</v>
      </c>
      <c r="B818" s="1" t="s">
        <v>98</v>
      </c>
      <c r="C818" s="4">
        <v>33</v>
      </c>
      <c r="D818" s="8">
        <v>1.43</v>
      </c>
      <c r="E818" s="4">
        <v>7</v>
      </c>
      <c r="F818" s="8">
        <v>0.62</v>
      </c>
      <c r="G818" s="4">
        <v>26</v>
      </c>
      <c r="H818" s="8">
        <v>2.27</v>
      </c>
      <c r="I818" s="4">
        <v>0</v>
      </c>
    </row>
    <row r="819" spans="1:9" x14ac:dyDescent="0.2">
      <c r="A819" s="2">
        <v>19</v>
      </c>
      <c r="B819" s="1" t="s">
        <v>106</v>
      </c>
      <c r="C819" s="4">
        <v>31</v>
      </c>
      <c r="D819" s="8">
        <v>1.35</v>
      </c>
      <c r="E819" s="4">
        <v>7</v>
      </c>
      <c r="F819" s="8">
        <v>0.62</v>
      </c>
      <c r="G819" s="4">
        <v>24</v>
      </c>
      <c r="H819" s="8">
        <v>2.09</v>
      </c>
      <c r="I819" s="4">
        <v>0</v>
      </c>
    </row>
    <row r="820" spans="1:9" x14ac:dyDescent="0.2">
      <c r="A820" s="2">
        <v>20</v>
      </c>
      <c r="B820" s="1" t="s">
        <v>109</v>
      </c>
      <c r="C820" s="4">
        <v>30</v>
      </c>
      <c r="D820" s="8">
        <v>1.3</v>
      </c>
      <c r="E820" s="4">
        <v>14</v>
      </c>
      <c r="F820" s="8">
        <v>1.24</v>
      </c>
      <c r="G820" s="4">
        <v>16</v>
      </c>
      <c r="H820" s="8">
        <v>1.4</v>
      </c>
      <c r="I820" s="4">
        <v>0</v>
      </c>
    </row>
    <row r="821" spans="1:9" x14ac:dyDescent="0.2">
      <c r="A821" s="1"/>
      <c r="C821" s="4"/>
      <c r="D821" s="8"/>
      <c r="E821" s="4"/>
      <c r="F821" s="8"/>
      <c r="G821" s="4"/>
      <c r="H821" s="8"/>
      <c r="I821" s="4"/>
    </row>
    <row r="822" spans="1:9" x14ac:dyDescent="0.2">
      <c r="A822" s="1" t="s">
        <v>37</v>
      </c>
      <c r="C822" s="4"/>
      <c r="D822" s="8"/>
      <c r="E822" s="4"/>
      <c r="F822" s="8"/>
      <c r="G822" s="4"/>
      <c r="H822" s="8"/>
      <c r="I822" s="4"/>
    </row>
    <row r="823" spans="1:9" x14ac:dyDescent="0.2">
      <c r="A823" s="2">
        <v>1</v>
      </c>
      <c r="B823" s="1" t="s">
        <v>111</v>
      </c>
      <c r="C823" s="4">
        <v>138</v>
      </c>
      <c r="D823" s="8">
        <v>11.97</v>
      </c>
      <c r="E823" s="4">
        <v>132</v>
      </c>
      <c r="F823" s="8">
        <v>19.760000000000002</v>
      </c>
      <c r="G823" s="4">
        <v>6</v>
      </c>
      <c r="H823" s="8">
        <v>1.28</v>
      </c>
      <c r="I823" s="4">
        <v>0</v>
      </c>
    </row>
    <row r="824" spans="1:9" x14ac:dyDescent="0.2">
      <c r="A824" s="2">
        <v>2</v>
      </c>
      <c r="B824" s="1" t="s">
        <v>94</v>
      </c>
      <c r="C824" s="4">
        <v>108</v>
      </c>
      <c r="D824" s="8">
        <v>9.3699999999999992</v>
      </c>
      <c r="E824" s="4">
        <v>38</v>
      </c>
      <c r="F824" s="8">
        <v>5.69</v>
      </c>
      <c r="G824" s="4">
        <v>70</v>
      </c>
      <c r="H824" s="8">
        <v>14.93</v>
      </c>
      <c r="I824" s="4">
        <v>0</v>
      </c>
    </row>
    <row r="825" spans="1:9" x14ac:dyDescent="0.2">
      <c r="A825" s="2">
        <v>3</v>
      </c>
      <c r="B825" s="1" t="s">
        <v>105</v>
      </c>
      <c r="C825" s="4">
        <v>92</v>
      </c>
      <c r="D825" s="8">
        <v>7.98</v>
      </c>
      <c r="E825" s="4">
        <v>44</v>
      </c>
      <c r="F825" s="8">
        <v>6.59</v>
      </c>
      <c r="G825" s="4">
        <v>48</v>
      </c>
      <c r="H825" s="8">
        <v>10.23</v>
      </c>
      <c r="I825" s="4">
        <v>0</v>
      </c>
    </row>
    <row r="826" spans="1:9" x14ac:dyDescent="0.2">
      <c r="A826" s="2">
        <v>4</v>
      </c>
      <c r="B826" s="1" t="s">
        <v>110</v>
      </c>
      <c r="C826" s="4">
        <v>91</v>
      </c>
      <c r="D826" s="8">
        <v>7.89</v>
      </c>
      <c r="E826" s="4">
        <v>77</v>
      </c>
      <c r="F826" s="8">
        <v>11.53</v>
      </c>
      <c r="G826" s="4">
        <v>14</v>
      </c>
      <c r="H826" s="8">
        <v>2.99</v>
      </c>
      <c r="I826" s="4">
        <v>0</v>
      </c>
    </row>
    <row r="827" spans="1:9" x14ac:dyDescent="0.2">
      <c r="A827" s="2">
        <v>5</v>
      </c>
      <c r="B827" s="1" t="s">
        <v>95</v>
      </c>
      <c r="C827" s="4">
        <v>66</v>
      </c>
      <c r="D827" s="8">
        <v>5.72</v>
      </c>
      <c r="E827" s="4">
        <v>46</v>
      </c>
      <c r="F827" s="8">
        <v>6.89</v>
      </c>
      <c r="G827" s="4">
        <v>20</v>
      </c>
      <c r="H827" s="8">
        <v>4.26</v>
      </c>
      <c r="I827" s="4">
        <v>0</v>
      </c>
    </row>
    <row r="828" spans="1:9" x14ac:dyDescent="0.2">
      <c r="A828" s="2">
        <v>6</v>
      </c>
      <c r="B828" s="1" t="s">
        <v>103</v>
      </c>
      <c r="C828" s="4">
        <v>55</v>
      </c>
      <c r="D828" s="8">
        <v>4.7699999999999996</v>
      </c>
      <c r="E828" s="4">
        <v>40</v>
      </c>
      <c r="F828" s="8">
        <v>5.99</v>
      </c>
      <c r="G828" s="4">
        <v>14</v>
      </c>
      <c r="H828" s="8">
        <v>2.99</v>
      </c>
      <c r="I828" s="4">
        <v>1</v>
      </c>
    </row>
    <row r="829" spans="1:9" x14ac:dyDescent="0.2">
      <c r="A829" s="2">
        <v>7</v>
      </c>
      <c r="B829" s="1" t="s">
        <v>112</v>
      </c>
      <c r="C829" s="4">
        <v>48</v>
      </c>
      <c r="D829" s="8">
        <v>4.16</v>
      </c>
      <c r="E829" s="4">
        <v>36</v>
      </c>
      <c r="F829" s="8">
        <v>5.39</v>
      </c>
      <c r="G829" s="4">
        <v>9</v>
      </c>
      <c r="H829" s="8">
        <v>1.92</v>
      </c>
      <c r="I829" s="4">
        <v>0</v>
      </c>
    </row>
    <row r="830" spans="1:9" x14ac:dyDescent="0.2">
      <c r="A830" s="2">
        <v>8</v>
      </c>
      <c r="B830" s="1" t="s">
        <v>104</v>
      </c>
      <c r="C830" s="4">
        <v>44</v>
      </c>
      <c r="D830" s="8">
        <v>3.82</v>
      </c>
      <c r="E830" s="4">
        <v>28</v>
      </c>
      <c r="F830" s="8">
        <v>4.1900000000000004</v>
      </c>
      <c r="G830" s="4">
        <v>16</v>
      </c>
      <c r="H830" s="8">
        <v>3.41</v>
      </c>
      <c r="I830" s="4">
        <v>0</v>
      </c>
    </row>
    <row r="831" spans="1:9" x14ac:dyDescent="0.2">
      <c r="A831" s="2">
        <v>8</v>
      </c>
      <c r="B831" s="1" t="s">
        <v>113</v>
      </c>
      <c r="C831" s="4">
        <v>44</v>
      </c>
      <c r="D831" s="8">
        <v>3.82</v>
      </c>
      <c r="E831" s="4">
        <v>37</v>
      </c>
      <c r="F831" s="8">
        <v>5.54</v>
      </c>
      <c r="G831" s="4">
        <v>7</v>
      </c>
      <c r="H831" s="8">
        <v>1.49</v>
      </c>
      <c r="I831" s="4">
        <v>0</v>
      </c>
    </row>
    <row r="832" spans="1:9" x14ac:dyDescent="0.2">
      <c r="A832" s="2">
        <v>10</v>
      </c>
      <c r="B832" s="1" t="s">
        <v>96</v>
      </c>
      <c r="C832" s="4">
        <v>43</v>
      </c>
      <c r="D832" s="8">
        <v>3.73</v>
      </c>
      <c r="E832" s="4">
        <v>15</v>
      </c>
      <c r="F832" s="8">
        <v>2.25</v>
      </c>
      <c r="G832" s="4">
        <v>28</v>
      </c>
      <c r="H832" s="8">
        <v>5.97</v>
      </c>
      <c r="I832" s="4">
        <v>0</v>
      </c>
    </row>
    <row r="833" spans="1:9" x14ac:dyDescent="0.2">
      <c r="A833" s="2">
        <v>11</v>
      </c>
      <c r="B833" s="1" t="s">
        <v>102</v>
      </c>
      <c r="C833" s="4">
        <v>33</v>
      </c>
      <c r="D833" s="8">
        <v>2.86</v>
      </c>
      <c r="E833" s="4">
        <v>25</v>
      </c>
      <c r="F833" s="8">
        <v>3.74</v>
      </c>
      <c r="G833" s="4">
        <v>8</v>
      </c>
      <c r="H833" s="8">
        <v>1.71</v>
      </c>
      <c r="I833" s="4">
        <v>0</v>
      </c>
    </row>
    <row r="834" spans="1:9" x14ac:dyDescent="0.2">
      <c r="A834" s="2">
        <v>12</v>
      </c>
      <c r="B834" s="1" t="s">
        <v>109</v>
      </c>
      <c r="C834" s="4">
        <v>28</v>
      </c>
      <c r="D834" s="8">
        <v>2.4300000000000002</v>
      </c>
      <c r="E834" s="4">
        <v>12</v>
      </c>
      <c r="F834" s="8">
        <v>1.8</v>
      </c>
      <c r="G834" s="4">
        <v>16</v>
      </c>
      <c r="H834" s="8">
        <v>3.41</v>
      </c>
      <c r="I834" s="4">
        <v>0</v>
      </c>
    </row>
    <row r="835" spans="1:9" x14ac:dyDescent="0.2">
      <c r="A835" s="2">
        <v>13</v>
      </c>
      <c r="B835" s="1" t="s">
        <v>107</v>
      </c>
      <c r="C835" s="4">
        <v>25</v>
      </c>
      <c r="D835" s="8">
        <v>2.17</v>
      </c>
      <c r="E835" s="4">
        <v>9</v>
      </c>
      <c r="F835" s="8">
        <v>1.35</v>
      </c>
      <c r="G835" s="4">
        <v>14</v>
      </c>
      <c r="H835" s="8">
        <v>2.99</v>
      </c>
      <c r="I835" s="4">
        <v>1</v>
      </c>
    </row>
    <row r="836" spans="1:9" x14ac:dyDescent="0.2">
      <c r="A836" s="2">
        <v>14</v>
      </c>
      <c r="B836" s="1" t="s">
        <v>108</v>
      </c>
      <c r="C836" s="4">
        <v>23</v>
      </c>
      <c r="D836" s="8">
        <v>1.99</v>
      </c>
      <c r="E836" s="4">
        <v>16</v>
      </c>
      <c r="F836" s="8">
        <v>2.4</v>
      </c>
      <c r="G836" s="4">
        <v>6</v>
      </c>
      <c r="H836" s="8">
        <v>1.28</v>
      </c>
      <c r="I836" s="4">
        <v>1</v>
      </c>
    </row>
    <row r="837" spans="1:9" x14ac:dyDescent="0.2">
      <c r="A837" s="2">
        <v>15</v>
      </c>
      <c r="B837" s="1" t="s">
        <v>133</v>
      </c>
      <c r="C837" s="4">
        <v>20</v>
      </c>
      <c r="D837" s="8">
        <v>1.73</v>
      </c>
      <c r="E837" s="4">
        <v>7</v>
      </c>
      <c r="F837" s="8">
        <v>1.05</v>
      </c>
      <c r="G837" s="4">
        <v>13</v>
      </c>
      <c r="H837" s="8">
        <v>2.77</v>
      </c>
      <c r="I837" s="4">
        <v>0</v>
      </c>
    </row>
    <row r="838" spans="1:9" x14ac:dyDescent="0.2">
      <c r="A838" s="2">
        <v>15</v>
      </c>
      <c r="B838" s="1" t="s">
        <v>116</v>
      </c>
      <c r="C838" s="4">
        <v>20</v>
      </c>
      <c r="D838" s="8">
        <v>1.73</v>
      </c>
      <c r="E838" s="4">
        <v>0</v>
      </c>
      <c r="F838" s="8">
        <v>0</v>
      </c>
      <c r="G838" s="4">
        <v>16</v>
      </c>
      <c r="H838" s="8">
        <v>3.41</v>
      </c>
      <c r="I838" s="4">
        <v>0</v>
      </c>
    </row>
    <row r="839" spans="1:9" x14ac:dyDescent="0.2">
      <c r="A839" s="2">
        <v>17</v>
      </c>
      <c r="B839" s="1" t="s">
        <v>97</v>
      </c>
      <c r="C839" s="4">
        <v>18</v>
      </c>
      <c r="D839" s="8">
        <v>1.56</v>
      </c>
      <c r="E839" s="4">
        <v>8</v>
      </c>
      <c r="F839" s="8">
        <v>1.2</v>
      </c>
      <c r="G839" s="4">
        <v>10</v>
      </c>
      <c r="H839" s="8">
        <v>2.13</v>
      </c>
      <c r="I839" s="4">
        <v>0</v>
      </c>
    </row>
    <row r="840" spans="1:9" x14ac:dyDescent="0.2">
      <c r="A840" s="2">
        <v>18</v>
      </c>
      <c r="B840" s="1" t="s">
        <v>134</v>
      </c>
      <c r="C840" s="4">
        <v>14</v>
      </c>
      <c r="D840" s="8">
        <v>1.21</v>
      </c>
      <c r="E840" s="4">
        <v>9</v>
      </c>
      <c r="F840" s="8">
        <v>1.35</v>
      </c>
      <c r="G840" s="4">
        <v>4</v>
      </c>
      <c r="H840" s="8">
        <v>0.85</v>
      </c>
      <c r="I840" s="4">
        <v>0</v>
      </c>
    </row>
    <row r="841" spans="1:9" x14ac:dyDescent="0.2">
      <c r="A841" s="2">
        <v>19</v>
      </c>
      <c r="B841" s="1" t="s">
        <v>106</v>
      </c>
      <c r="C841" s="4">
        <v>13</v>
      </c>
      <c r="D841" s="8">
        <v>1.1299999999999999</v>
      </c>
      <c r="E841" s="4">
        <v>7</v>
      </c>
      <c r="F841" s="8">
        <v>1.05</v>
      </c>
      <c r="G841" s="4">
        <v>6</v>
      </c>
      <c r="H841" s="8">
        <v>1.28</v>
      </c>
      <c r="I841" s="4">
        <v>0</v>
      </c>
    </row>
    <row r="842" spans="1:9" x14ac:dyDescent="0.2">
      <c r="A842" s="2">
        <v>19</v>
      </c>
      <c r="B842" s="1" t="s">
        <v>114</v>
      </c>
      <c r="C842" s="4">
        <v>13</v>
      </c>
      <c r="D842" s="8">
        <v>1.1299999999999999</v>
      </c>
      <c r="E842" s="4">
        <v>2</v>
      </c>
      <c r="F842" s="8">
        <v>0.3</v>
      </c>
      <c r="G842" s="4">
        <v>10</v>
      </c>
      <c r="H842" s="8">
        <v>2.13</v>
      </c>
      <c r="I842" s="4">
        <v>1</v>
      </c>
    </row>
    <row r="843" spans="1:9" x14ac:dyDescent="0.2">
      <c r="A843" s="1"/>
      <c r="C843" s="4"/>
      <c r="D843" s="8"/>
      <c r="E843" s="4"/>
      <c r="F843" s="8"/>
      <c r="G843" s="4"/>
      <c r="H843" s="8"/>
      <c r="I843" s="4"/>
    </row>
    <row r="844" spans="1:9" x14ac:dyDescent="0.2">
      <c r="A844" s="1" t="s">
        <v>38</v>
      </c>
      <c r="C844" s="4"/>
      <c r="D844" s="8"/>
      <c r="E844" s="4"/>
      <c r="F844" s="8"/>
      <c r="G844" s="4"/>
      <c r="H844" s="8"/>
      <c r="I844" s="4"/>
    </row>
    <row r="845" spans="1:9" x14ac:dyDescent="0.2">
      <c r="A845" s="2">
        <v>1</v>
      </c>
      <c r="B845" s="1" t="s">
        <v>111</v>
      </c>
      <c r="C845" s="4">
        <v>218</v>
      </c>
      <c r="D845" s="8">
        <v>10.83</v>
      </c>
      <c r="E845" s="4">
        <v>166</v>
      </c>
      <c r="F845" s="8">
        <v>19.010000000000002</v>
      </c>
      <c r="G845" s="4">
        <v>52</v>
      </c>
      <c r="H845" s="8">
        <v>4.6399999999999997</v>
      </c>
      <c r="I845" s="4">
        <v>0</v>
      </c>
    </row>
    <row r="846" spans="1:9" x14ac:dyDescent="0.2">
      <c r="A846" s="2">
        <v>2</v>
      </c>
      <c r="B846" s="1" t="s">
        <v>110</v>
      </c>
      <c r="C846" s="4">
        <v>215</v>
      </c>
      <c r="D846" s="8">
        <v>10.68</v>
      </c>
      <c r="E846" s="4">
        <v>188</v>
      </c>
      <c r="F846" s="8">
        <v>21.53</v>
      </c>
      <c r="G846" s="4">
        <v>27</v>
      </c>
      <c r="H846" s="8">
        <v>2.41</v>
      </c>
      <c r="I846" s="4">
        <v>0</v>
      </c>
    </row>
    <row r="847" spans="1:9" x14ac:dyDescent="0.2">
      <c r="A847" s="2">
        <v>3</v>
      </c>
      <c r="B847" s="1" t="s">
        <v>107</v>
      </c>
      <c r="C847" s="4">
        <v>160</v>
      </c>
      <c r="D847" s="8">
        <v>7.95</v>
      </c>
      <c r="E847" s="4">
        <v>80</v>
      </c>
      <c r="F847" s="8">
        <v>9.16</v>
      </c>
      <c r="G847" s="4">
        <v>80</v>
      </c>
      <c r="H847" s="8">
        <v>7.14</v>
      </c>
      <c r="I847" s="4">
        <v>0</v>
      </c>
    </row>
    <row r="848" spans="1:9" x14ac:dyDescent="0.2">
      <c r="A848" s="2">
        <v>4</v>
      </c>
      <c r="B848" s="1" t="s">
        <v>96</v>
      </c>
      <c r="C848" s="4">
        <v>119</v>
      </c>
      <c r="D848" s="8">
        <v>5.91</v>
      </c>
      <c r="E848" s="4">
        <v>9</v>
      </c>
      <c r="F848" s="8">
        <v>1.03</v>
      </c>
      <c r="G848" s="4">
        <v>110</v>
      </c>
      <c r="H848" s="8">
        <v>9.81</v>
      </c>
      <c r="I848" s="4">
        <v>0</v>
      </c>
    </row>
    <row r="849" spans="1:9" x14ac:dyDescent="0.2">
      <c r="A849" s="2">
        <v>5</v>
      </c>
      <c r="B849" s="1" t="s">
        <v>94</v>
      </c>
      <c r="C849" s="4">
        <v>114</v>
      </c>
      <c r="D849" s="8">
        <v>5.66</v>
      </c>
      <c r="E849" s="4">
        <v>22</v>
      </c>
      <c r="F849" s="8">
        <v>2.52</v>
      </c>
      <c r="G849" s="4">
        <v>92</v>
      </c>
      <c r="H849" s="8">
        <v>8.2100000000000009</v>
      </c>
      <c r="I849" s="4">
        <v>0</v>
      </c>
    </row>
    <row r="850" spans="1:9" x14ac:dyDescent="0.2">
      <c r="A850" s="2">
        <v>6</v>
      </c>
      <c r="B850" s="1" t="s">
        <v>95</v>
      </c>
      <c r="C850" s="4">
        <v>101</v>
      </c>
      <c r="D850" s="8">
        <v>5.0199999999999996</v>
      </c>
      <c r="E850" s="4">
        <v>33</v>
      </c>
      <c r="F850" s="8">
        <v>3.78</v>
      </c>
      <c r="G850" s="4">
        <v>68</v>
      </c>
      <c r="H850" s="8">
        <v>6.07</v>
      </c>
      <c r="I850" s="4">
        <v>0</v>
      </c>
    </row>
    <row r="851" spans="1:9" x14ac:dyDescent="0.2">
      <c r="A851" s="2">
        <v>7</v>
      </c>
      <c r="B851" s="1" t="s">
        <v>112</v>
      </c>
      <c r="C851" s="4">
        <v>87</v>
      </c>
      <c r="D851" s="8">
        <v>4.32</v>
      </c>
      <c r="E851" s="4">
        <v>61</v>
      </c>
      <c r="F851" s="8">
        <v>6.99</v>
      </c>
      <c r="G851" s="4">
        <v>22</v>
      </c>
      <c r="H851" s="8">
        <v>1.96</v>
      </c>
      <c r="I851" s="4">
        <v>1</v>
      </c>
    </row>
    <row r="852" spans="1:9" x14ac:dyDescent="0.2">
      <c r="A852" s="2">
        <v>8</v>
      </c>
      <c r="B852" s="1" t="s">
        <v>105</v>
      </c>
      <c r="C852" s="4">
        <v>85</v>
      </c>
      <c r="D852" s="8">
        <v>4.22</v>
      </c>
      <c r="E852" s="4">
        <v>38</v>
      </c>
      <c r="F852" s="8">
        <v>4.3499999999999996</v>
      </c>
      <c r="G852" s="4">
        <v>47</v>
      </c>
      <c r="H852" s="8">
        <v>4.1900000000000004</v>
      </c>
      <c r="I852" s="4">
        <v>0</v>
      </c>
    </row>
    <row r="853" spans="1:9" x14ac:dyDescent="0.2">
      <c r="A853" s="2">
        <v>9</v>
      </c>
      <c r="B853" s="1" t="s">
        <v>113</v>
      </c>
      <c r="C853" s="4">
        <v>65</v>
      </c>
      <c r="D853" s="8">
        <v>3.23</v>
      </c>
      <c r="E853" s="4">
        <v>57</v>
      </c>
      <c r="F853" s="8">
        <v>6.53</v>
      </c>
      <c r="G853" s="4">
        <v>8</v>
      </c>
      <c r="H853" s="8">
        <v>0.71</v>
      </c>
      <c r="I853" s="4">
        <v>0</v>
      </c>
    </row>
    <row r="854" spans="1:9" x14ac:dyDescent="0.2">
      <c r="A854" s="2">
        <v>10</v>
      </c>
      <c r="B854" s="1" t="s">
        <v>104</v>
      </c>
      <c r="C854" s="4">
        <v>63</v>
      </c>
      <c r="D854" s="8">
        <v>3.13</v>
      </c>
      <c r="E854" s="4">
        <v>28</v>
      </c>
      <c r="F854" s="8">
        <v>3.21</v>
      </c>
      <c r="G854" s="4">
        <v>35</v>
      </c>
      <c r="H854" s="8">
        <v>3.12</v>
      </c>
      <c r="I854" s="4">
        <v>0</v>
      </c>
    </row>
    <row r="855" spans="1:9" x14ac:dyDescent="0.2">
      <c r="A855" s="2">
        <v>11</v>
      </c>
      <c r="B855" s="1" t="s">
        <v>103</v>
      </c>
      <c r="C855" s="4">
        <v>60</v>
      </c>
      <c r="D855" s="8">
        <v>2.98</v>
      </c>
      <c r="E855" s="4">
        <v>23</v>
      </c>
      <c r="F855" s="8">
        <v>2.63</v>
      </c>
      <c r="G855" s="4">
        <v>37</v>
      </c>
      <c r="H855" s="8">
        <v>3.3</v>
      </c>
      <c r="I855" s="4">
        <v>0</v>
      </c>
    </row>
    <row r="856" spans="1:9" x14ac:dyDescent="0.2">
      <c r="A856" s="2">
        <v>12</v>
      </c>
      <c r="B856" s="1" t="s">
        <v>97</v>
      </c>
      <c r="C856" s="4">
        <v>45</v>
      </c>
      <c r="D856" s="8">
        <v>2.2400000000000002</v>
      </c>
      <c r="E856" s="4">
        <v>10</v>
      </c>
      <c r="F856" s="8">
        <v>1.1499999999999999</v>
      </c>
      <c r="G856" s="4">
        <v>35</v>
      </c>
      <c r="H856" s="8">
        <v>3.12</v>
      </c>
      <c r="I856" s="4">
        <v>0</v>
      </c>
    </row>
    <row r="857" spans="1:9" x14ac:dyDescent="0.2">
      <c r="A857" s="2">
        <v>13</v>
      </c>
      <c r="B857" s="1" t="s">
        <v>99</v>
      </c>
      <c r="C857" s="4">
        <v>42</v>
      </c>
      <c r="D857" s="8">
        <v>2.09</v>
      </c>
      <c r="E857" s="4">
        <v>5</v>
      </c>
      <c r="F857" s="8">
        <v>0.56999999999999995</v>
      </c>
      <c r="G857" s="4">
        <v>37</v>
      </c>
      <c r="H857" s="8">
        <v>3.3</v>
      </c>
      <c r="I857" s="4">
        <v>0</v>
      </c>
    </row>
    <row r="858" spans="1:9" x14ac:dyDescent="0.2">
      <c r="A858" s="2">
        <v>14</v>
      </c>
      <c r="B858" s="1" t="s">
        <v>135</v>
      </c>
      <c r="C858" s="4">
        <v>39</v>
      </c>
      <c r="D858" s="8">
        <v>1.94</v>
      </c>
      <c r="E858" s="4">
        <v>3</v>
      </c>
      <c r="F858" s="8">
        <v>0.34</v>
      </c>
      <c r="G858" s="4">
        <v>35</v>
      </c>
      <c r="H858" s="8">
        <v>3.12</v>
      </c>
      <c r="I858" s="4">
        <v>0</v>
      </c>
    </row>
    <row r="859" spans="1:9" x14ac:dyDescent="0.2">
      <c r="A859" s="2">
        <v>15</v>
      </c>
      <c r="B859" s="1" t="s">
        <v>108</v>
      </c>
      <c r="C859" s="4">
        <v>38</v>
      </c>
      <c r="D859" s="8">
        <v>1.89</v>
      </c>
      <c r="E859" s="4">
        <v>20</v>
      </c>
      <c r="F859" s="8">
        <v>2.29</v>
      </c>
      <c r="G859" s="4">
        <v>18</v>
      </c>
      <c r="H859" s="8">
        <v>1.61</v>
      </c>
      <c r="I859" s="4">
        <v>0</v>
      </c>
    </row>
    <row r="860" spans="1:9" x14ac:dyDescent="0.2">
      <c r="A860" s="2">
        <v>16</v>
      </c>
      <c r="B860" s="1" t="s">
        <v>100</v>
      </c>
      <c r="C860" s="4">
        <v>36</v>
      </c>
      <c r="D860" s="8">
        <v>1.79</v>
      </c>
      <c r="E860" s="4">
        <v>2</v>
      </c>
      <c r="F860" s="8">
        <v>0.23</v>
      </c>
      <c r="G860" s="4">
        <v>34</v>
      </c>
      <c r="H860" s="8">
        <v>3.03</v>
      </c>
      <c r="I860" s="4">
        <v>0</v>
      </c>
    </row>
    <row r="861" spans="1:9" x14ac:dyDescent="0.2">
      <c r="A861" s="2">
        <v>17</v>
      </c>
      <c r="B861" s="1" t="s">
        <v>98</v>
      </c>
      <c r="C861" s="4">
        <v>31</v>
      </c>
      <c r="D861" s="8">
        <v>1.54</v>
      </c>
      <c r="E861" s="4">
        <v>1</v>
      </c>
      <c r="F861" s="8">
        <v>0.11</v>
      </c>
      <c r="G861" s="4">
        <v>30</v>
      </c>
      <c r="H861" s="8">
        <v>2.68</v>
      </c>
      <c r="I861" s="4">
        <v>0</v>
      </c>
    </row>
    <row r="862" spans="1:9" x14ac:dyDescent="0.2">
      <c r="A862" s="2">
        <v>17</v>
      </c>
      <c r="B862" s="1" t="s">
        <v>109</v>
      </c>
      <c r="C862" s="4">
        <v>31</v>
      </c>
      <c r="D862" s="8">
        <v>1.54</v>
      </c>
      <c r="E862" s="4">
        <v>15</v>
      </c>
      <c r="F862" s="8">
        <v>1.72</v>
      </c>
      <c r="G862" s="4">
        <v>16</v>
      </c>
      <c r="H862" s="8">
        <v>1.43</v>
      </c>
      <c r="I862" s="4">
        <v>0</v>
      </c>
    </row>
    <row r="863" spans="1:9" x14ac:dyDescent="0.2">
      <c r="A863" s="2">
        <v>19</v>
      </c>
      <c r="B863" s="1" t="s">
        <v>115</v>
      </c>
      <c r="C863" s="4">
        <v>30</v>
      </c>
      <c r="D863" s="8">
        <v>1.49</v>
      </c>
      <c r="E863" s="4">
        <v>12</v>
      </c>
      <c r="F863" s="8">
        <v>1.37</v>
      </c>
      <c r="G863" s="4">
        <v>18</v>
      </c>
      <c r="H863" s="8">
        <v>1.61</v>
      </c>
      <c r="I863" s="4">
        <v>0</v>
      </c>
    </row>
    <row r="864" spans="1:9" x14ac:dyDescent="0.2">
      <c r="A864" s="2">
        <v>19</v>
      </c>
      <c r="B864" s="1" t="s">
        <v>116</v>
      </c>
      <c r="C864" s="4">
        <v>30</v>
      </c>
      <c r="D864" s="8">
        <v>1.49</v>
      </c>
      <c r="E864" s="4">
        <v>0</v>
      </c>
      <c r="F864" s="8">
        <v>0</v>
      </c>
      <c r="G864" s="4">
        <v>22</v>
      </c>
      <c r="H864" s="8">
        <v>1.96</v>
      </c>
      <c r="I864" s="4">
        <v>0</v>
      </c>
    </row>
    <row r="865" spans="1:9" x14ac:dyDescent="0.2">
      <c r="A865" s="1"/>
      <c r="C865" s="4"/>
      <c r="D865" s="8"/>
      <c r="E865" s="4"/>
      <c r="F865" s="8"/>
      <c r="G865" s="4"/>
      <c r="H865" s="8"/>
      <c r="I865" s="4"/>
    </row>
    <row r="866" spans="1:9" x14ac:dyDescent="0.2">
      <c r="A866" s="1" t="s">
        <v>39</v>
      </c>
      <c r="C866" s="4"/>
      <c r="D866" s="8"/>
      <c r="E866" s="4"/>
      <c r="F866" s="8"/>
      <c r="G866" s="4"/>
      <c r="H866" s="8"/>
      <c r="I866" s="4"/>
    </row>
    <row r="867" spans="1:9" x14ac:dyDescent="0.2">
      <c r="A867" s="2">
        <v>1</v>
      </c>
      <c r="B867" s="1" t="s">
        <v>111</v>
      </c>
      <c r="C867" s="4">
        <v>176</v>
      </c>
      <c r="D867" s="8">
        <v>9.9499999999999993</v>
      </c>
      <c r="E867" s="4">
        <v>141</v>
      </c>
      <c r="F867" s="8">
        <v>17.670000000000002</v>
      </c>
      <c r="G867" s="4">
        <v>35</v>
      </c>
      <c r="H867" s="8">
        <v>3.63</v>
      </c>
      <c r="I867" s="4">
        <v>0</v>
      </c>
    </row>
    <row r="868" spans="1:9" x14ac:dyDescent="0.2">
      <c r="A868" s="2">
        <v>2</v>
      </c>
      <c r="B868" s="1" t="s">
        <v>107</v>
      </c>
      <c r="C868" s="4">
        <v>161</v>
      </c>
      <c r="D868" s="8">
        <v>9.1</v>
      </c>
      <c r="E868" s="4">
        <v>96</v>
      </c>
      <c r="F868" s="8">
        <v>12.03</v>
      </c>
      <c r="G868" s="4">
        <v>65</v>
      </c>
      <c r="H868" s="8">
        <v>6.75</v>
      </c>
      <c r="I868" s="4">
        <v>0</v>
      </c>
    </row>
    <row r="869" spans="1:9" x14ac:dyDescent="0.2">
      <c r="A869" s="2">
        <v>3</v>
      </c>
      <c r="B869" s="1" t="s">
        <v>110</v>
      </c>
      <c r="C869" s="4">
        <v>129</v>
      </c>
      <c r="D869" s="8">
        <v>7.29</v>
      </c>
      <c r="E869" s="4">
        <v>107</v>
      </c>
      <c r="F869" s="8">
        <v>13.41</v>
      </c>
      <c r="G869" s="4">
        <v>22</v>
      </c>
      <c r="H869" s="8">
        <v>2.2799999999999998</v>
      </c>
      <c r="I869" s="4">
        <v>0</v>
      </c>
    </row>
    <row r="870" spans="1:9" x14ac:dyDescent="0.2">
      <c r="A870" s="2">
        <v>4</v>
      </c>
      <c r="B870" s="1" t="s">
        <v>94</v>
      </c>
      <c r="C870" s="4">
        <v>121</v>
      </c>
      <c r="D870" s="8">
        <v>6.84</v>
      </c>
      <c r="E870" s="4">
        <v>25</v>
      </c>
      <c r="F870" s="8">
        <v>3.13</v>
      </c>
      <c r="G870" s="4">
        <v>96</v>
      </c>
      <c r="H870" s="8">
        <v>9.9700000000000006</v>
      </c>
      <c r="I870" s="4">
        <v>0</v>
      </c>
    </row>
    <row r="871" spans="1:9" x14ac:dyDescent="0.2">
      <c r="A871" s="2">
        <v>5</v>
      </c>
      <c r="B871" s="1" t="s">
        <v>105</v>
      </c>
      <c r="C871" s="4">
        <v>91</v>
      </c>
      <c r="D871" s="8">
        <v>5.14</v>
      </c>
      <c r="E871" s="4">
        <v>45</v>
      </c>
      <c r="F871" s="8">
        <v>5.64</v>
      </c>
      <c r="G871" s="4">
        <v>45</v>
      </c>
      <c r="H871" s="8">
        <v>4.67</v>
      </c>
      <c r="I871" s="4">
        <v>1</v>
      </c>
    </row>
    <row r="872" spans="1:9" x14ac:dyDescent="0.2">
      <c r="A872" s="2">
        <v>6</v>
      </c>
      <c r="B872" s="1" t="s">
        <v>95</v>
      </c>
      <c r="C872" s="4">
        <v>87</v>
      </c>
      <c r="D872" s="8">
        <v>4.92</v>
      </c>
      <c r="E872" s="4">
        <v>25</v>
      </c>
      <c r="F872" s="8">
        <v>3.13</v>
      </c>
      <c r="G872" s="4">
        <v>62</v>
      </c>
      <c r="H872" s="8">
        <v>6.44</v>
      </c>
      <c r="I872" s="4">
        <v>0</v>
      </c>
    </row>
    <row r="873" spans="1:9" x14ac:dyDescent="0.2">
      <c r="A873" s="2">
        <v>7</v>
      </c>
      <c r="B873" s="1" t="s">
        <v>112</v>
      </c>
      <c r="C873" s="4">
        <v>86</v>
      </c>
      <c r="D873" s="8">
        <v>4.8600000000000003</v>
      </c>
      <c r="E873" s="4">
        <v>66</v>
      </c>
      <c r="F873" s="8">
        <v>8.27</v>
      </c>
      <c r="G873" s="4">
        <v>17</v>
      </c>
      <c r="H873" s="8">
        <v>1.77</v>
      </c>
      <c r="I873" s="4">
        <v>2</v>
      </c>
    </row>
    <row r="874" spans="1:9" x14ac:dyDescent="0.2">
      <c r="A874" s="2">
        <v>8</v>
      </c>
      <c r="B874" s="1" t="s">
        <v>96</v>
      </c>
      <c r="C874" s="4">
        <v>73</v>
      </c>
      <c r="D874" s="8">
        <v>4.13</v>
      </c>
      <c r="E874" s="4">
        <v>15</v>
      </c>
      <c r="F874" s="8">
        <v>1.88</v>
      </c>
      <c r="G874" s="4">
        <v>58</v>
      </c>
      <c r="H874" s="8">
        <v>6.02</v>
      </c>
      <c r="I874" s="4">
        <v>0</v>
      </c>
    </row>
    <row r="875" spans="1:9" x14ac:dyDescent="0.2">
      <c r="A875" s="2">
        <v>9</v>
      </c>
      <c r="B875" s="1" t="s">
        <v>98</v>
      </c>
      <c r="C875" s="4">
        <v>67</v>
      </c>
      <c r="D875" s="8">
        <v>3.79</v>
      </c>
      <c r="E875" s="4">
        <v>11</v>
      </c>
      <c r="F875" s="8">
        <v>1.38</v>
      </c>
      <c r="G875" s="4">
        <v>56</v>
      </c>
      <c r="H875" s="8">
        <v>5.82</v>
      </c>
      <c r="I875" s="4">
        <v>0</v>
      </c>
    </row>
    <row r="876" spans="1:9" x14ac:dyDescent="0.2">
      <c r="A876" s="2">
        <v>10</v>
      </c>
      <c r="B876" s="1" t="s">
        <v>97</v>
      </c>
      <c r="C876" s="4">
        <v>61</v>
      </c>
      <c r="D876" s="8">
        <v>3.45</v>
      </c>
      <c r="E876" s="4">
        <v>15</v>
      </c>
      <c r="F876" s="8">
        <v>1.88</v>
      </c>
      <c r="G876" s="4">
        <v>46</v>
      </c>
      <c r="H876" s="8">
        <v>4.78</v>
      </c>
      <c r="I876" s="4">
        <v>0</v>
      </c>
    </row>
    <row r="877" spans="1:9" x14ac:dyDescent="0.2">
      <c r="A877" s="2">
        <v>11</v>
      </c>
      <c r="B877" s="1" t="s">
        <v>113</v>
      </c>
      <c r="C877" s="4">
        <v>56</v>
      </c>
      <c r="D877" s="8">
        <v>3.17</v>
      </c>
      <c r="E877" s="4">
        <v>49</v>
      </c>
      <c r="F877" s="8">
        <v>6.14</v>
      </c>
      <c r="G877" s="4">
        <v>7</v>
      </c>
      <c r="H877" s="8">
        <v>0.73</v>
      </c>
      <c r="I877" s="4">
        <v>0</v>
      </c>
    </row>
    <row r="878" spans="1:9" x14ac:dyDescent="0.2">
      <c r="A878" s="2">
        <v>12</v>
      </c>
      <c r="B878" s="1" t="s">
        <v>104</v>
      </c>
      <c r="C878" s="4">
        <v>54</v>
      </c>
      <c r="D878" s="8">
        <v>3.05</v>
      </c>
      <c r="E878" s="4">
        <v>25</v>
      </c>
      <c r="F878" s="8">
        <v>3.13</v>
      </c>
      <c r="G878" s="4">
        <v>29</v>
      </c>
      <c r="H878" s="8">
        <v>3.01</v>
      </c>
      <c r="I878" s="4">
        <v>0</v>
      </c>
    </row>
    <row r="879" spans="1:9" x14ac:dyDescent="0.2">
      <c r="A879" s="2">
        <v>13</v>
      </c>
      <c r="B879" s="1" t="s">
        <v>103</v>
      </c>
      <c r="C879" s="4">
        <v>48</v>
      </c>
      <c r="D879" s="8">
        <v>2.71</v>
      </c>
      <c r="E879" s="4">
        <v>25</v>
      </c>
      <c r="F879" s="8">
        <v>3.13</v>
      </c>
      <c r="G879" s="4">
        <v>23</v>
      </c>
      <c r="H879" s="8">
        <v>2.39</v>
      </c>
      <c r="I879" s="4">
        <v>0</v>
      </c>
    </row>
    <row r="880" spans="1:9" x14ac:dyDescent="0.2">
      <c r="A880" s="2">
        <v>14</v>
      </c>
      <c r="B880" s="1" t="s">
        <v>108</v>
      </c>
      <c r="C880" s="4">
        <v>41</v>
      </c>
      <c r="D880" s="8">
        <v>2.3199999999999998</v>
      </c>
      <c r="E880" s="4">
        <v>29</v>
      </c>
      <c r="F880" s="8">
        <v>3.63</v>
      </c>
      <c r="G880" s="4">
        <v>12</v>
      </c>
      <c r="H880" s="8">
        <v>1.25</v>
      </c>
      <c r="I880" s="4">
        <v>0</v>
      </c>
    </row>
    <row r="881" spans="1:9" x14ac:dyDescent="0.2">
      <c r="A881" s="2">
        <v>15</v>
      </c>
      <c r="B881" s="1" t="s">
        <v>109</v>
      </c>
      <c r="C881" s="4">
        <v>37</v>
      </c>
      <c r="D881" s="8">
        <v>2.09</v>
      </c>
      <c r="E881" s="4">
        <v>19</v>
      </c>
      <c r="F881" s="8">
        <v>2.38</v>
      </c>
      <c r="G881" s="4">
        <v>18</v>
      </c>
      <c r="H881" s="8">
        <v>1.87</v>
      </c>
      <c r="I881" s="4">
        <v>0</v>
      </c>
    </row>
    <row r="882" spans="1:9" x14ac:dyDescent="0.2">
      <c r="A882" s="2">
        <v>16</v>
      </c>
      <c r="B882" s="1" t="s">
        <v>102</v>
      </c>
      <c r="C882" s="4">
        <v>33</v>
      </c>
      <c r="D882" s="8">
        <v>1.87</v>
      </c>
      <c r="E882" s="4">
        <v>16</v>
      </c>
      <c r="F882" s="8">
        <v>2.0099999999999998</v>
      </c>
      <c r="G882" s="4">
        <v>17</v>
      </c>
      <c r="H882" s="8">
        <v>1.77</v>
      </c>
      <c r="I882" s="4">
        <v>0</v>
      </c>
    </row>
    <row r="883" spans="1:9" x14ac:dyDescent="0.2">
      <c r="A883" s="2">
        <v>17</v>
      </c>
      <c r="B883" s="1" t="s">
        <v>106</v>
      </c>
      <c r="C883" s="4">
        <v>27</v>
      </c>
      <c r="D883" s="8">
        <v>1.53</v>
      </c>
      <c r="E883" s="4">
        <v>12</v>
      </c>
      <c r="F883" s="8">
        <v>1.5</v>
      </c>
      <c r="G883" s="4">
        <v>15</v>
      </c>
      <c r="H883" s="8">
        <v>1.56</v>
      </c>
      <c r="I883" s="4">
        <v>0</v>
      </c>
    </row>
    <row r="884" spans="1:9" x14ac:dyDescent="0.2">
      <c r="A884" s="2">
        <v>18</v>
      </c>
      <c r="B884" s="1" t="s">
        <v>124</v>
      </c>
      <c r="C884" s="4">
        <v>25</v>
      </c>
      <c r="D884" s="8">
        <v>1.41</v>
      </c>
      <c r="E884" s="4">
        <v>6</v>
      </c>
      <c r="F884" s="8">
        <v>0.75</v>
      </c>
      <c r="G884" s="4">
        <v>19</v>
      </c>
      <c r="H884" s="8">
        <v>1.97</v>
      </c>
      <c r="I884" s="4">
        <v>0</v>
      </c>
    </row>
    <row r="885" spans="1:9" x14ac:dyDescent="0.2">
      <c r="A885" s="2">
        <v>18</v>
      </c>
      <c r="B885" s="1" t="s">
        <v>100</v>
      </c>
      <c r="C885" s="4">
        <v>25</v>
      </c>
      <c r="D885" s="8">
        <v>1.41</v>
      </c>
      <c r="E885" s="4">
        <v>4</v>
      </c>
      <c r="F885" s="8">
        <v>0.5</v>
      </c>
      <c r="G885" s="4">
        <v>21</v>
      </c>
      <c r="H885" s="8">
        <v>2.1800000000000002</v>
      </c>
      <c r="I885" s="4">
        <v>0</v>
      </c>
    </row>
    <row r="886" spans="1:9" x14ac:dyDescent="0.2">
      <c r="A886" s="2">
        <v>20</v>
      </c>
      <c r="B886" s="1" t="s">
        <v>99</v>
      </c>
      <c r="C886" s="4">
        <v>24</v>
      </c>
      <c r="D886" s="8">
        <v>1.36</v>
      </c>
      <c r="E886" s="4">
        <v>4</v>
      </c>
      <c r="F886" s="8">
        <v>0.5</v>
      </c>
      <c r="G886" s="4">
        <v>20</v>
      </c>
      <c r="H886" s="8">
        <v>2.08</v>
      </c>
      <c r="I886" s="4">
        <v>0</v>
      </c>
    </row>
    <row r="887" spans="1:9" x14ac:dyDescent="0.2">
      <c r="A887" s="2">
        <v>20</v>
      </c>
      <c r="B887" s="1" t="s">
        <v>101</v>
      </c>
      <c r="C887" s="4">
        <v>24</v>
      </c>
      <c r="D887" s="8">
        <v>1.36</v>
      </c>
      <c r="E887" s="4">
        <v>2</v>
      </c>
      <c r="F887" s="8">
        <v>0.25</v>
      </c>
      <c r="G887" s="4">
        <v>22</v>
      </c>
      <c r="H887" s="8">
        <v>2.2799999999999998</v>
      </c>
      <c r="I887" s="4">
        <v>0</v>
      </c>
    </row>
    <row r="888" spans="1:9" x14ac:dyDescent="0.2">
      <c r="A888" s="1"/>
      <c r="C888" s="4"/>
      <c r="D888" s="8"/>
      <c r="E888" s="4"/>
      <c r="F888" s="8"/>
      <c r="G888" s="4"/>
      <c r="H888" s="8"/>
      <c r="I888" s="4"/>
    </row>
    <row r="889" spans="1:9" x14ac:dyDescent="0.2">
      <c r="A889" s="1" t="s">
        <v>40</v>
      </c>
      <c r="C889" s="4"/>
      <c r="D889" s="8"/>
      <c r="E889" s="4"/>
      <c r="F889" s="8"/>
      <c r="G889" s="4"/>
      <c r="H889" s="8"/>
      <c r="I889" s="4"/>
    </row>
    <row r="890" spans="1:9" x14ac:dyDescent="0.2">
      <c r="A890" s="2">
        <v>1</v>
      </c>
      <c r="B890" s="1" t="s">
        <v>111</v>
      </c>
      <c r="C890" s="4">
        <v>141</v>
      </c>
      <c r="D890" s="8">
        <v>11.18</v>
      </c>
      <c r="E890" s="4">
        <v>120</v>
      </c>
      <c r="F890" s="8">
        <v>17.8</v>
      </c>
      <c r="G890" s="4">
        <v>21</v>
      </c>
      <c r="H890" s="8">
        <v>3.7</v>
      </c>
      <c r="I890" s="4">
        <v>0</v>
      </c>
    </row>
    <row r="891" spans="1:9" x14ac:dyDescent="0.2">
      <c r="A891" s="2">
        <v>2</v>
      </c>
      <c r="B891" s="1" t="s">
        <v>110</v>
      </c>
      <c r="C891" s="4">
        <v>131</v>
      </c>
      <c r="D891" s="8">
        <v>10.39</v>
      </c>
      <c r="E891" s="4">
        <v>116</v>
      </c>
      <c r="F891" s="8">
        <v>17.21</v>
      </c>
      <c r="G891" s="4">
        <v>15</v>
      </c>
      <c r="H891" s="8">
        <v>2.65</v>
      </c>
      <c r="I891" s="4">
        <v>0</v>
      </c>
    </row>
    <row r="892" spans="1:9" x14ac:dyDescent="0.2">
      <c r="A892" s="2">
        <v>3</v>
      </c>
      <c r="B892" s="1" t="s">
        <v>107</v>
      </c>
      <c r="C892" s="4">
        <v>99</v>
      </c>
      <c r="D892" s="8">
        <v>7.85</v>
      </c>
      <c r="E892" s="4">
        <v>60</v>
      </c>
      <c r="F892" s="8">
        <v>8.9</v>
      </c>
      <c r="G892" s="4">
        <v>39</v>
      </c>
      <c r="H892" s="8">
        <v>6.88</v>
      </c>
      <c r="I892" s="4">
        <v>0</v>
      </c>
    </row>
    <row r="893" spans="1:9" x14ac:dyDescent="0.2">
      <c r="A893" s="2">
        <v>4</v>
      </c>
      <c r="B893" s="1" t="s">
        <v>95</v>
      </c>
      <c r="C893" s="4">
        <v>83</v>
      </c>
      <c r="D893" s="8">
        <v>6.58</v>
      </c>
      <c r="E893" s="4">
        <v>22</v>
      </c>
      <c r="F893" s="8">
        <v>3.26</v>
      </c>
      <c r="G893" s="4">
        <v>61</v>
      </c>
      <c r="H893" s="8">
        <v>10.76</v>
      </c>
      <c r="I893" s="4">
        <v>0</v>
      </c>
    </row>
    <row r="894" spans="1:9" x14ac:dyDescent="0.2">
      <c r="A894" s="2">
        <v>4</v>
      </c>
      <c r="B894" s="1" t="s">
        <v>96</v>
      </c>
      <c r="C894" s="4">
        <v>83</v>
      </c>
      <c r="D894" s="8">
        <v>6.58</v>
      </c>
      <c r="E894" s="4">
        <v>16</v>
      </c>
      <c r="F894" s="8">
        <v>2.37</v>
      </c>
      <c r="G894" s="4">
        <v>67</v>
      </c>
      <c r="H894" s="8">
        <v>11.82</v>
      </c>
      <c r="I894" s="4">
        <v>0</v>
      </c>
    </row>
    <row r="895" spans="1:9" x14ac:dyDescent="0.2">
      <c r="A895" s="2">
        <v>6</v>
      </c>
      <c r="B895" s="1" t="s">
        <v>105</v>
      </c>
      <c r="C895" s="4">
        <v>78</v>
      </c>
      <c r="D895" s="8">
        <v>6.19</v>
      </c>
      <c r="E895" s="4">
        <v>41</v>
      </c>
      <c r="F895" s="8">
        <v>6.08</v>
      </c>
      <c r="G895" s="4">
        <v>37</v>
      </c>
      <c r="H895" s="8">
        <v>6.53</v>
      </c>
      <c r="I895" s="4">
        <v>0</v>
      </c>
    </row>
    <row r="896" spans="1:9" x14ac:dyDescent="0.2">
      <c r="A896" s="2">
        <v>7</v>
      </c>
      <c r="B896" s="1" t="s">
        <v>94</v>
      </c>
      <c r="C896" s="4">
        <v>68</v>
      </c>
      <c r="D896" s="8">
        <v>5.39</v>
      </c>
      <c r="E896" s="4">
        <v>17</v>
      </c>
      <c r="F896" s="8">
        <v>2.52</v>
      </c>
      <c r="G896" s="4">
        <v>51</v>
      </c>
      <c r="H896" s="8">
        <v>8.99</v>
      </c>
      <c r="I896" s="4">
        <v>0</v>
      </c>
    </row>
    <row r="897" spans="1:9" x14ac:dyDescent="0.2">
      <c r="A897" s="2">
        <v>8</v>
      </c>
      <c r="B897" s="1" t="s">
        <v>112</v>
      </c>
      <c r="C897" s="4">
        <v>61</v>
      </c>
      <c r="D897" s="8">
        <v>4.84</v>
      </c>
      <c r="E897" s="4">
        <v>50</v>
      </c>
      <c r="F897" s="8">
        <v>7.42</v>
      </c>
      <c r="G897" s="4">
        <v>9</v>
      </c>
      <c r="H897" s="8">
        <v>1.59</v>
      </c>
      <c r="I897" s="4">
        <v>0</v>
      </c>
    </row>
    <row r="898" spans="1:9" x14ac:dyDescent="0.2">
      <c r="A898" s="2">
        <v>9</v>
      </c>
      <c r="B898" s="1" t="s">
        <v>113</v>
      </c>
      <c r="C898" s="4">
        <v>60</v>
      </c>
      <c r="D898" s="8">
        <v>4.76</v>
      </c>
      <c r="E898" s="4">
        <v>48</v>
      </c>
      <c r="F898" s="8">
        <v>7.12</v>
      </c>
      <c r="G898" s="4">
        <v>12</v>
      </c>
      <c r="H898" s="8">
        <v>2.12</v>
      </c>
      <c r="I898" s="4">
        <v>0</v>
      </c>
    </row>
    <row r="899" spans="1:9" x14ac:dyDescent="0.2">
      <c r="A899" s="2">
        <v>10</v>
      </c>
      <c r="B899" s="1" t="s">
        <v>103</v>
      </c>
      <c r="C899" s="4">
        <v>43</v>
      </c>
      <c r="D899" s="8">
        <v>3.41</v>
      </c>
      <c r="E899" s="4">
        <v>37</v>
      </c>
      <c r="F899" s="8">
        <v>5.49</v>
      </c>
      <c r="G899" s="4">
        <v>5</v>
      </c>
      <c r="H899" s="8">
        <v>0.88</v>
      </c>
      <c r="I899" s="4">
        <v>1</v>
      </c>
    </row>
    <row r="900" spans="1:9" x14ac:dyDescent="0.2">
      <c r="A900" s="2">
        <v>11</v>
      </c>
      <c r="B900" s="1" t="s">
        <v>104</v>
      </c>
      <c r="C900" s="4">
        <v>36</v>
      </c>
      <c r="D900" s="8">
        <v>2.85</v>
      </c>
      <c r="E900" s="4">
        <v>26</v>
      </c>
      <c r="F900" s="8">
        <v>3.86</v>
      </c>
      <c r="G900" s="4">
        <v>10</v>
      </c>
      <c r="H900" s="8">
        <v>1.76</v>
      </c>
      <c r="I900" s="4">
        <v>0</v>
      </c>
    </row>
    <row r="901" spans="1:9" x14ac:dyDescent="0.2">
      <c r="A901" s="2">
        <v>12</v>
      </c>
      <c r="B901" s="1" t="s">
        <v>108</v>
      </c>
      <c r="C901" s="4">
        <v>28</v>
      </c>
      <c r="D901" s="8">
        <v>2.2200000000000002</v>
      </c>
      <c r="E901" s="4">
        <v>17</v>
      </c>
      <c r="F901" s="8">
        <v>2.52</v>
      </c>
      <c r="G901" s="4">
        <v>11</v>
      </c>
      <c r="H901" s="8">
        <v>1.94</v>
      </c>
      <c r="I901" s="4">
        <v>0</v>
      </c>
    </row>
    <row r="902" spans="1:9" x14ac:dyDescent="0.2">
      <c r="A902" s="2">
        <v>13</v>
      </c>
      <c r="B902" s="1" t="s">
        <v>115</v>
      </c>
      <c r="C902" s="4">
        <v>23</v>
      </c>
      <c r="D902" s="8">
        <v>1.82</v>
      </c>
      <c r="E902" s="4">
        <v>5</v>
      </c>
      <c r="F902" s="8">
        <v>0.74</v>
      </c>
      <c r="G902" s="4">
        <v>9</v>
      </c>
      <c r="H902" s="8">
        <v>1.59</v>
      </c>
      <c r="I902" s="4">
        <v>0</v>
      </c>
    </row>
    <row r="903" spans="1:9" x14ac:dyDescent="0.2">
      <c r="A903" s="2">
        <v>14</v>
      </c>
      <c r="B903" s="1" t="s">
        <v>116</v>
      </c>
      <c r="C903" s="4">
        <v>22</v>
      </c>
      <c r="D903" s="8">
        <v>1.74</v>
      </c>
      <c r="E903" s="4">
        <v>0</v>
      </c>
      <c r="F903" s="8">
        <v>0</v>
      </c>
      <c r="G903" s="4">
        <v>18</v>
      </c>
      <c r="H903" s="8">
        <v>3.17</v>
      </c>
      <c r="I903" s="4">
        <v>0</v>
      </c>
    </row>
    <row r="904" spans="1:9" x14ac:dyDescent="0.2">
      <c r="A904" s="2">
        <v>15</v>
      </c>
      <c r="B904" s="1" t="s">
        <v>102</v>
      </c>
      <c r="C904" s="4">
        <v>21</v>
      </c>
      <c r="D904" s="8">
        <v>1.67</v>
      </c>
      <c r="E904" s="4">
        <v>13</v>
      </c>
      <c r="F904" s="8">
        <v>1.93</v>
      </c>
      <c r="G904" s="4">
        <v>8</v>
      </c>
      <c r="H904" s="8">
        <v>1.41</v>
      </c>
      <c r="I904" s="4">
        <v>0</v>
      </c>
    </row>
    <row r="905" spans="1:9" x14ac:dyDescent="0.2">
      <c r="A905" s="2">
        <v>16</v>
      </c>
      <c r="B905" s="1" t="s">
        <v>109</v>
      </c>
      <c r="C905" s="4">
        <v>20</v>
      </c>
      <c r="D905" s="8">
        <v>1.59</v>
      </c>
      <c r="E905" s="4">
        <v>9</v>
      </c>
      <c r="F905" s="8">
        <v>1.34</v>
      </c>
      <c r="G905" s="4">
        <v>11</v>
      </c>
      <c r="H905" s="8">
        <v>1.94</v>
      </c>
      <c r="I905" s="4">
        <v>0</v>
      </c>
    </row>
    <row r="906" spans="1:9" x14ac:dyDescent="0.2">
      <c r="A906" s="2">
        <v>16</v>
      </c>
      <c r="B906" s="1" t="s">
        <v>114</v>
      </c>
      <c r="C906" s="4">
        <v>20</v>
      </c>
      <c r="D906" s="8">
        <v>1.59</v>
      </c>
      <c r="E906" s="4">
        <v>2</v>
      </c>
      <c r="F906" s="8">
        <v>0.3</v>
      </c>
      <c r="G906" s="4">
        <v>18</v>
      </c>
      <c r="H906" s="8">
        <v>3.17</v>
      </c>
      <c r="I906" s="4">
        <v>0</v>
      </c>
    </row>
    <row r="907" spans="1:9" x14ac:dyDescent="0.2">
      <c r="A907" s="2">
        <v>18</v>
      </c>
      <c r="B907" s="1" t="s">
        <v>101</v>
      </c>
      <c r="C907" s="4">
        <v>18</v>
      </c>
      <c r="D907" s="8">
        <v>1.43</v>
      </c>
      <c r="E907" s="4">
        <v>9</v>
      </c>
      <c r="F907" s="8">
        <v>1.34</v>
      </c>
      <c r="G907" s="4">
        <v>9</v>
      </c>
      <c r="H907" s="8">
        <v>1.59</v>
      </c>
      <c r="I907" s="4">
        <v>0</v>
      </c>
    </row>
    <row r="908" spans="1:9" x14ac:dyDescent="0.2">
      <c r="A908" s="2">
        <v>19</v>
      </c>
      <c r="B908" s="1" t="s">
        <v>99</v>
      </c>
      <c r="C908" s="4">
        <v>17</v>
      </c>
      <c r="D908" s="8">
        <v>1.35</v>
      </c>
      <c r="E908" s="4">
        <v>3</v>
      </c>
      <c r="F908" s="8">
        <v>0.45</v>
      </c>
      <c r="G908" s="4">
        <v>14</v>
      </c>
      <c r="H908" s="8">
        <v>2.4700000000000002</v>
      </c>
      <c r="I908" s="4">
        <v>0</v>
      </c>
    </row>
    <row r="909" spans="1:9" x14ac:dyDescent="0.2">
      <c r="A909" s="2">
        <v>19</v>
      </c>
      <c r="B909" s="1" t="s">
        <v>106</v>
      </c>
      <c r="C909" s="4">
        <v>17</v>
      </c>
      <c r="D909" s="8">
        <v>1.35</v>
      </c>
      <c r="E909" s="4">
        <v>6</v>
      </c>
      <c r="F909" s="8">
        <v>0.89</v>
      </c>
      <c r="G909" s="4">
        <v>11</v>
      </c>
      <c r="H909" s="8">
        <v>1.94</v>
      </c>
      <c r="I909" s="4">
        <v>0</v>
      </c>
    </row>
    <row r="910" spans="1:9" x14ac:dyDescent="0.2">
      <c r="A910" s="1"/>
      <c r="C910" s="4"/>
      <c r="D910" s="8"/>
      <c r="E910" s="4"/>
      <c r="F910" s="8"/>
      <c r="G910" s="4"/>
      <c r="H910" s="8"/>
      <c r="I910" s="4"/>
    </row>
    <row r="911" spans="1:9" x14ac:dyDescent="0.2">
      <c r="A911" s="1" t="s">
        <v>41</v>
      </c>
      <c r="C911" s="4"/>
      <c r="D911" s="8"/>
      <c r="E911" s="4"/>
      <c r="F911" s="8"/>
      <c r="G911" s="4"/>
      <c r="H911" s="8"/>
      <c r="I911" s="4"/>
    </row>
    <row r="912" spans="1:9" x14ac:dyDescent="0.2">
      <c r="A912" s="2">
        <v>1</v>
      </c>
      <c r="B912" s="1" t="s">
        <v>111</v>
      </c>
      <c r="C912" s="4">
        <v>101</v>
      </c>
      <c r="D912" s="8">
        <v>10.43</v>
      </c>
      <c r="E912" s="4">
        <v>86</v>
      </c>
      <c r="F912" s="8">
        <v>19.68</v>
      </c>
      <c r="G912" s="4">
        <v>15</v>
      </c>
      <c r="H912" s="8">
        <v>2.87</v>
      </c>
      <c r="I912" s="4">
        <v>0</v>
      </c>
    </row>
    <row r="913" spans="1:9" x14ac:dyDescent="0.2">
      <c r="A913" s="2">
        <v>2</v>
      </c>
      <c r="B913" s="1" t="s">
        <v>110</v>
      </c>
      <c r="C913" s="4">
        <v>91</v>
      </c>
      <c r="D913" s="8">
        <v>9.4</v>
      </c>
      <c r="E913" s="4">
        <v>72</v>
      </c>
      <c r="F913" s="8">
        <v>16.48</v>
      </c>
      <c r="G913" s="4">
        <v>19</v>
      </c>
      <c r="H913" s="8">
        <v>3.63</v>
      </c>
      <c r="I913" s="4">
        <v>0</v>
      </c>
    </row>
    <row r="914" spans="1:9" x14ac:dyDescent="0.2">
      <c r="A914" s="2">
        <v>3</v>
      </c>
      <c r="B914" s="1" t="s">
        <v>105</v>
      </c>
      <c r="C914" s="4">
        <v>75</v>
      </c>
      <c r="D914" s="8">
        <v>7.75</v>
      </c>
      <c r="E914" s="4">
        <v>42</v>
      </c>
      <c r="F914" s="8">
        <v>9.61</v>
      </c>
      <c r="G914" s="4">
        <v>33</v>
      </c>
      <c r="H914" s="8">
        <v>6.31</v>
      </c>
      <c r="I914" s="4">
        <v>0</v>
      </c>
    </row>
    <row r="915" spans="1:9" x14ac:dyDescent="0.2">
      <c r="A915" s="2">
        <v>4</v>
      </c>
      <c r="B915" s="1" t="s">
        <v>107</v>
      </c>
      <c r="C915" s="4">
        <v>74</v>
      </c>
      <c r="D915" s="8">
        <v>7.64</v>
      </c>
      <c r="E915" s="4">
        <v>16</v>
      </c>
      <c r="F915" s="8">
        <v>3.66</v>
      </c>
      <c r="G915" s="4">
        <v>58</v>
      </c>
      <c r="H915" s="8">
        <v>11.09</v>
      </c>
      <c r="I915" s="4">
        <v>0</v>
      </c>
    </row>
    <row r="916" spans="1:9" x14ac:dyDescent="0.2">
      <c r="A916" s="2">
        <v>5</v>
      </c>
      <c r="B916" s="1" t="s">
        <v>94</v>
      </c>
      <c r="C916" s="4">
        <v>50</v>
      </c>
      <c r="D916" s="8">
        <v>5.17</v>
      </c>
      <c r="E916" s="4">
        <v>4</v>
      </c>
      <c r="F916" s="8">
        <v>0.92</v>
      </c>
      <c r="G916" s="4">
        <v>46</v>
      </c>
      <c r="H916" s="8">
        <v>8.8000000000000007</v>
      </c>
      <c r="I916" s="4">
        <v>0</v>
      </c>
    </row>
    <row r="917" spans="1:9" x14ac:dyDescent="0.2">
      <c r="A917" s="2">
        <v>6</v>
      </c>
      <c r="B917" s="1" t="s">
        <v>112</v>
      </c>
      <c r="C917" s="4">
        <v>46</v>
      </c>
      <c r="D917" s="8">
        <v>4.75</v>
      </c>
      <c r="E917" s="4">
        <v>29</v>
      </c>
      <c r="F917" s="8">
        <v>6.64</v>
      </c>
      <c r="G917" s="4">
        <v>15</v>
      </c>
      <c r="H917" s="8">
        <v>2.87</v>
      </c>
      <c r="I917" s="4">
        <v>0</v>
      </c>
    </row>
    <row r="918" spans="1:9" x14ac:dyDescent="0.2">
      <c r="A918" s="2">
        <v>7</v>
      </c>
      <c r="B918" s="1" t="s">
        <v>102</v>
      </c>
      <c r="C918" s="4">
        <v>39</v>
      </c>
      <c r="D918" s="8">
        <v>4.03</v>
      </c>
      <c r="E918" s="4">
        <v>18</v>
      </c>
      <c r="F918" s="8">
        <v>4.12</v>
      </c>
      <c r="G918" s="4">
        <v>21</v>
      </c>
      <c r="H918" s="8">
        <v>4.0199999999999996</v>
      </c>
      <c r="I918" s="4">
        <v>0</v>
      </c>
    </row>
    <row r="919" spans="1:9" x14ac:dyDescent="0.2">
      <c r="A919" s="2">
        <v>8</v>
      </c>
      <c r="B919" s="1" t="s">
        <v>103</v>
      </c>
      <c r="C919" s="4">
        <v>37</v>
      </c>
      <c r="D919" s="8">
        <v>3.82</v>
      </c>
      <c r="E919" s="4">
        <v>23</v>
      </c>
      <c r="F919" s="8">
        <v>5.26</v>
      </c>
      <c r="G919" s="4">
        <v>14</v>
      </c>
      <c r="H919" s="8">
        <v>2.68</v>
      </c>
      <c r="I919" s="4">
        <v>0</v>
      </c>
    </row>
    <row r="920" spans="1:9" x14ac:dyDescent="0.2">
      <c r="A920" s="2">
        <v>9</v>
      </c>
      <c r="B920" s="1" t="s">
        <v>95</v>
      </c>
      <c r="C920" s="4">
        <v>31</v>
      </c>
      <c r="D920" s="8">
        <v>3.2</v>
      </c>
      <c r="E920" s="4">
        <v>5</v>
      </c>
      <c r="F920" s="8">
        <v>1.1399999999999999</v>
      </c>
      <c r="G920" s="4">
        <v>26</v>
      </c>
      <c r="H920" s="8">
        <v>4.97</v>
      </c>
      <c r="I920" s="4">
        <v>0</v>
      </c>
    </row>
    <row r="921" spans="1:9" x14ac:dyDescent="0.2">
      <c r="A921" s="2">
        <v>9</v>
      </c>
      <c r="B921" s="1" t="s">
        <v>113</v>
      </c>
      <c r="C921" s="4">
        <v>31</v>
      </c>
      <c r="D921" s="8">
        <v>3.2</v>
      </c>
      <c r="E921" s="4">
        <v>28</v>
      </c>
      <c r="F921" s="8">
        <v>6.41</v>
      </c>
      <c r="G921" s="4">
        <v>3</v>
      </c>
      <c r="H921" s="8">
        <v>0.56999999999999995</v>
      </c>
      <c r="I921" s="4">
        <v>0</v>
      </c>
    </row>
    <row r="922" spans="1:9" x14ac:dyDescent="0.2">
      <c r="A922" s="2">
        <v>11</v>
      </c>
      <c r="B922" s="1" t="s">
        <v>104</v>
      </c>
      <c r="C922" s="4">
        <v>30</v>
      </c>
      <c r="D922" s="8">
        <v>3.1</v>
      </c>
      <c r="E922" s="4">
        <v>17</v>
      </c>
      <c r="F922" s="8">
        <v>3.89</v>
      </c>
      <c r="G922" s="4">
        <v>13</v>
      </c>
      <c r="H922" s="8">
        <v>2.4900000000000002</v>
      </c>
      <c r="I922" s="4">
        <v>0</v>
      </c>
    </row>
    <row r="923" spans="1:9" x14ac:dyDescent="0.2">
      <c r="A923" s="2">
        <v>12</v>
      </c>
      <c r="B923" s="1" t="s">
        <v>108</v>
      </c>
      <c r="C923" s="4">
        <v>29</v>
      </c>
      <c r="D923" s="8">
        <v>3</v>
      </c>
      <c r="E923" s="4">
        <v>13</v>
      </c>
      <c r="F923" s="8">
        <v>2.97</v>
      </c>
      <c r="G923" s="4">
        <v>16</v>
      </c>
      <c r="H923" s="8">
        <v>3.06</v>
      </c>
      <c r="I923" s="4">
        <v>0</v>
      </c>
    </row>
    <row r="924" spans="1:9" x14ac:dyDescent="0.2">
      <c r="A924" s="2">
        <v>13</v>
      </c>
      <c r="B924" s="1" t="s">
        <v>96</v>
      </c>
      <c r="C924" s="4">
        <v>28</v>
      </c>
      <c r="D924" s="8">
        <v>2.89</v>
      </c>
      <c r="E924" s="4">
        <v>5</v>
      </c>
      <c r="F924" s="8">
        <v>1.1399999999999999</v>
      </c>
      <c r="G924" s="4">
        <v>23</v>
      </c>
      <c r="H924" s="8">
        <v>4.4000000000000004</v>
      </c>
      <c r="I924" s="4">
        <v>0</v>
      </c>
    </row>
    <row r="925" spans="1:9" x14ac:dyDescent="0.2">
      <c r="A925" s="2">
        <v>14</v>
      </c>
      <c r="B925" s="1" t="s">
        <v>109</v>
      </c>
      <c r="C925" s="4">
        <v>19</v>
      </c>
      <c r="D925" s="8">
        <v>1.96</v>
      </c>
      <c r="E925" s="4">
        <v>7</v>
      </c>
      <c r="F925" s="8">
        <v>1.6</v>
      </c>
      <c r="G925" s="4">
        <v>12</v>
      </c>
      <c r="H925" s="8">
        <v>2.29</v>
      </c>
      <c r="I925" s="4">
        <v>0</v>
      </c>
    </row>
    <row r="926" spans="1:9" x14ac:dyDescent="0.2">
      <c r="A926" s="2">
        <v>15</v>
      </c>
      <c r="B926" s="1" t="s">
        <v>97</v>
      </c>
      <c r="C926" s="4">
        <v>17</v>
      </c>
      <c r="D926" s="8">
        <v>1.76</v>
      </c>
      <c r="E926" s="4">
        <v>5</v>
      </c>
      <c r="F926" s="8">
        <v>1.1399999999999999</v>
      </c>
      <c r="G926" s="4">
        <v>12</v>
      </c>
      <c r="H926" s="8">
        <v>2.29</v>
      </c>
      <c r="I926" s="4">
        <v>0</v>
      </c>
    </row>
    <row r="927" spans="1:9" x14ac:dyDescent="0.2">
      <c r="A927" s="2">
        <v>15</v>
      </c>
      <c r="B927" s="1" t="s">
        <v>98</v>
      </c>
      <c r="C927" s="4">
        <v>17</v>
      </c>
      <c r="D927" s="8">
        <v>1.76</v>
      </c>
      <c r="E927" s="4">
        <v>3</v>
      </c>
      <c r="F927" s="8">
        <v>0.69</v>
      </c>
      <c r="G927" s="4">
        <v>14</v>
      </c>
      <c r="H927" s="8">
        <v>2.68</v>
      </c>
      <c r="I927" s="4">
        <v>0</v>
      </c>
    </row>
    <row r="928" spans="1:9" x14ac:dyDescent="0.2">
      <c r="A928" s="2">
        <v>15</v>
      </c>
      <c r="B928" s="1" t="s">
        <v>115</v>
      </c>
      <c r="C928" s="4">
        <v>17</v>
      </c>
      <c r="D928" s="8">
        <v>1.76</v>
      </c>
      <c r="E928" s="4">
        <v>10</v>
      </c>
      <c r="F928" s="8">
        <v>2.29</v>
      </c>
      <c r="G928" s="4">
        <v>7</v>
      </c>
      <c r="H928" s="8">
        <v>1.34</v>
      </c>
      <c r="I928" s="4">
        <v>0</v>
      </c>
    </row>
    <row r="929" spans="1:9" x14ac:dyDescent="0.2">
      <c r="A929" s="2">
        <v>18</v>
      </c>
      <c r="B929" s="1" t="s">
        <v>124</v>
      </c>
      <c r="C929" s="4">
        <v>16</v>
      </c>
      <c r="D929" s="8">
        <v>1.65</v>
      </c>
      <c r="E929" s="4">
        <v>3</v>
      </c>
      <c r="F929" s="8">
        <v>0.69</v>
      </c>
      <c r="G929" s="4">
        <v>13</v>
      </c>
      <c r="H929" s="8">
        <v>2.4900000000000002</v>
      </c>
      <c r="I929" s="4">
        <v>0</v>
      </c>
    </row>
    <row r="930" spans="1:9" x14ac:dyDescent="0.2">
      <c r="A930" s="2">
        <v>18</v>
      </c>
      <c r="B930" s="1" t="s">
        <v>106</v>
      </c>
      <c r="C930" s="4">
        <v>16</v>
      </c>
      <c r="D930" s="8">
        <v>1.65</v>
      </c>
      <c r="E930" s="4">
        <v>1</v>
      </c>
      <c r="F930" s="8">
        <v>0.23</v>
      </c>
      <c r="G930" s="4">
        <v>15</v>
      </c>
      <c r="H930" s="8">
        <v>2.87</v>
      </c>
      <c r="I930" s="4">
        <v>0</v>
      </c>
    </row>
    <row r="931" spans="1:9" x14ac:dyDescent="0.2">
      <c r="A931" s="2">
        <v>20</v>
      </c>
      <c r="B931" s="1" t="s">
        <v>100</v>
      </c>
      <c r="C931" s="4">
        <v>15</v>
      </c>
      <c r="D931" s="8">
        <v>1.55</v>
      </c>
      <c r="E931" s="4">
        <v>1</v>
      </c>
      <c r="F931" s="8">
        <v>0.23</v>
      </c>
      <c r="G931" s="4">
        <v>14</v>
      </c>
      <c r="H931" s="8">
        <v>2.68</v>
      </c>
      <c r="I931" s="4">
        <v>0</v>
      </c>
    </row>
    <row r="932" spans="1:9" x14ac:dyDescent="0.2">
      <c r="A932" s="1"/>
      <c r="C932" s="4"/>
      <c r="D932" s="8"/>
      <c r="E932" s="4"/>
      <c r="F932" s="8"/>
      <c r="G932" s="4"/>
      <c r="H932" s="8"/>
      <c r="I932" s="4"/>
    </row>
    <row r="933" spans="1:9" x14ac:dyDescent="0.2">
      <c r="A933" s="1" t="s">
        <v>42</v>
      </c>
      <c r="C933" s="4"/>
      <c r="D933" s="8"/>
      <c r="E933" s="4"/>
      <c r="F933" s="8"/>
      <c r="G933" s="4"/>
      <c r="H933" s="8"/>
      <c r="I933" s="4"/>
    </row>
    <row r="934" spans="1:9" x14ac:dyDescent="0.2">
      <c r="A934" s="2">
        <v>1</v>
      </c>
      <c r="B934" s="1" t="s">
        <v>111</v>
      </c>
      <c r="C934" s="4">
        <v>154</v>
      </c>
      <c r="D934" s="8">
        <v>10.48</v>
      </c>
      <c r="E934" s="4">
        <v>120</v>
      </c>
      <c r="F934" s="8">
        <v>19.05</v>
      </c>
      <c r="G934" s="4">
        <v>34</v>
      </c>
      <c r="H934" s="8">
        <v>4.12</v>
      </c>
      <c r="I934" s="4">
        <v>0</v>
      </c>
    </row>
    <row r="935" spans="1:9" x14ac:dyDescent="0.2">
      <c r="A935" s="2">
        <v>2</v>
      </c>
      <c r="B935" s="1" t="s">
        <v>107</v>
      </c>
      <c r="C935" s="4">
        <v>129</v>
      </c>
      <c r="D935" s="8">
        <v>8.7799999999999994</v>
      </c>
      <c r="E935" s="4">
        <v>52</v>
      </c>
      <c r="F935" s="8">
        <v>8.25</v>
      </c>
      <c r="G935" s="4">
        <v>77</v>
      </c>
      <c r="H935" s="8">
        <v>9.33</v>
      </c>
      <c r="I935" s="4">
        <v>0</v>
      </c>
    </row>
    <row r="936" spans="1:9" x14ac:dyDescent="0.2">
      <c r="A936" s="2">
        <v>3</v>
      </c>
      <c r="B936" s="1" t="s">
        <v>110</v>
      </c>
      <c r="C936" s="4">
        <v>116</v>
      </c>
      <c r="D936" s="8">
        <v>7.9</v>
      </c>
      <c r="E936" s="4">
        <v>96</v>
      </c>
      <c r="F936" s="8">
        <v>15.24</v>
      </c>
      <c r="G936" s="4">
        <v>20</v>
      </c>
      <c r="H936" s="8">
        <v>2.42</v>
      </c>
      <c r="I936" s="4">
        <v>0</v>
      </c>
    </row>
    <row r="937" spans="1:9" x14ac:dyDescent="0.2">
      <c r="A937" s="2">
        <v>4</v>
      </c>
      <c r="B937" s="1" t="s">
        <v>94</v>
      </c>
      <c r="C937" s="4">
        <v>106</v>
      </c>
      <c r="D937" s="8">
        <v>7.22</v>
      </c>
      <c r="E937" s="4">
        <v>9</v>
      </c>
      <c r="F937" s="8">
        <v>1.43</v>
      </c>
      <c r="G937" s="4">
        <v>97</v>
      </c>
      <c r="H937" s="8">
        <v>11.76</v>
      </c>
      <c r="I937" s="4">
        <v>0</v>
      </c>
    </row>
    <row r="938" spans="1:9" x14ac:dyDescent="0.2">
      <c r="A938" s="2">
        <v>5</v>
      </c>
      <c r="B938" s="1" t="s">
        <v>112</v>
      </c>
      <c r="C938" s="4">
        <v>88</v>
      </c>
      <c r="D938" s="8">
        <v>5.99</v>
      </c>
      <c r="E938" s="4">
        <v>59</v>
      </c>
      <c r="F938" s="8">
        <v>9.3699999999999992</v>
      </c>
      <c r="G938" s="4">
        <v>20</v>
      </c>
      <c r="H938" s="8">
        <v>2.42</v>
      </c>
      <c r="I938" s="4">
        <v>0</v>
      </c>
    </row>
    <row r="939" spans="1:9" x14ac:dyDescent="0.2">
      <c r="A939" s="2">
        <v>6</v>
      </c>
      <c r="B939" s="1" t="s">
        <v>105</v>
      </c>
      <c r="C939" s="4">
        <v>76</v>
      </c>
      <c r="D939" s="8">
        <v>5.17</v>
      </c>
      <c r="E939" s="4">
        <v>38</v>
      </c>
      <c r="F939" s="8">
        <v>6.03</v>
      </c>
      <c r="G939" s="4">
        <v>38</v>
      </c>
      <c r="H939" s="8">
        <v>4.6100000000000003</v>
      </c>
      <c r="I939" s="4">
        <v>0</v>
      </c>
    </row>
    <row r="940" spans="1:9" x14ac:dyDescent="0.2">
      <c r="A940" s="2">
        <v>7</v>
      </c>
      <c r="B940" s="1" t="s">
        <v>96</v>
      </c>
      <c r="C940" s="4">
        <v>75</v>
      </c>
      <c r="D940" s="8">
        <v>5.1100000000000003</v>
      </c>
      <c r="E940" s="4">
        <v>7</v>
      </c>
      <c r="F940" s="8">
        <v>1.1100000000000001</v>
      </c>
      <c r="G940" s="4">
        <v>68</v>
      </c>
      <c r="H940" s="8">
        <v>8.24</v>
      </c>
      <c r="I940" s="4">
        <v>0</v>
      </c>
    </row>
    <row r="941" spans="1:9" x14ac:dyDescent="0.2">
      <c r="A941" s="2">
        <v>8</v>
      </c>
      <c r="B941" s="1" t="s">
        <v>95</v>
      </c>
      <c r="C941" s="4">
        <v>74</v>
      </c>
      <c r="D941" s="8">
        <v>5.04</v>
      </c>
      <c r="E941" s="4">
        <v>22</v>
      </c>
      <c r="F941" s="8">
        <v>3.49</v>
      </c>
      <c r="G941" s="4">
        <v>52</v>
      </c>
      <c r="H941" s="8">
        <v>6.3</v>
      </c>
      <c r="I941" s="4">
        <v>0</v>
      </c>
    </row>
    <row r="942" spans="1:9" x14ac:dyDescent="0.2">
      <c r="A942" s="2">
        <v>9</v>
      </c>
      <c r="B942" s="1" t="s">
        <v>113</v>
      </c>
      <c r="C942" s="4">
        <v>63</v>
      </c>
      <c r="D942" s="8">
        <v>4.29</v>
      </c>
      <c r="E942" s="4">
        <v>57</v>
      </c>
      <c r="F942" s="8">
        <v>9.0500000000000007</v>
      </c>
      <c r="G942" s="4">
        <v>6</v>
      </c>
      <c r="H942" s="8">
        <v>0.73</v>
      </c>
      <c r="I942" s="4">
        <v>0</v>
      </c>
    </row>
    <row r="943" spans="1:9" x14ac:dyDescent="0.2">
      <c r="A943" s="2">
        <v>10</v>
      </c>
      <c r="B943" s="1" t="s">
        <v>108</v>
      </c>
      <c r="C943" s="4">
        <v>51</v>
      </c>
      <c r="D943" s="8">
        <v>3.47</v>
      </c>
      <c r="E943" s="4">
        <v>32</v>
      </c>
      <c r="F943" s="8">
        <v>5.08</v>
      </c>
      <c r="G943" s="4">
        <v>18</v>
      </c>
      <c r="H943" s="8">
        <v>2.1800000000000002</v>
      </c>
      <c r="I943" s="4">
        <v>1</v>
      </c>
    </row>
    <row r="944" spans="1:9" x14ac:dyDescent="0.2">
      <c r="A944" s="2">
        <v>11</v>
      </c>
      <c r="B944" s="1" t="s">
        <v>104</v>
      </c>
      <c r="C944" s="4">
        <v>50</v>
      </c>
      <c r="D944" s="8">
        <v>3.4</v>
      </c>
      <c r="E944" s="4">
        <v>16</v>
      </c>
      <c r="F944" s="8">
        <v>2.54</v>
      </c>
      <c r="G944" s="4">
        <v>34</v>
      </c>
      <c r="H944" s="8">
        <v>4.12</v>
      </c>
      <c r="I944" s="4">
        <v>0</v>
      </c>
    </row>
    <row r="945" spans="1:9" x14ac:dyDescent="0.2">
      <c r="A945" s="2">
        <v>12</v>
      </c>
      <c r="B945" s="1" t="s">
        <v>109</v>
      </c>
      <c r="C945" s="4">
        <v>44</v>
      </c>
      <c r="D945" s="8">
        <v>3</v>
      </c>
      <c r="E945" s="4">
        <v>16</v>
      </c>
      <c r="F945" s="8">
        <v>2.54</v>
      </c>
      <c r="G945" s="4">
        <v>28</v>
      </c>
      <c r="H945" s="8">
        <v>3.39</v>
      </c>
      <c r="I945" s="4">
        <v>0</v>
      </c>
    </row>
    <row r="946" spans="1:9" x14ac:dyDescent="0.2">
      <c r="A946" s="2">
        <v>13</v>
      </c>
      <c r="B946" s="1" t="s">
        <v>106</v>
      </c>
      <c r="C946" s="4">
        <v>29</v>
      </c>
      <c r="D946" s="8">
        <v>1.97</v>
      </c>
      <c r="E946" s="4">
        <v>5</v>
      </c>
      <c r="F946" s="8">
        <v>0.79</v>
      </c>
      <c r="G946" s="4">
        <v>24</v>
      </c>
      <c r="H946" s="8">
        <v>2.91</v>
      </c>
      <c r="I946" s="4">
        <v>0</v>
      </c>
    </row>
    <row r="947" spans="1:9" x14ac:dyDescent="0.2">
      <c r="A947" s="2">
        <v>14</v>
      </c>
      <c r="B947" s="1" t="s">
        <v>116</v>
      </c>
      <c r="C947" s="4">
        <v>27</v>
      </c>
      <c r="D947" s="8">
        <v>1.84</v>
      </c>
      <c r="E947" s="4">
        <v>1</v>
      </c>
      <c r="F947" s="8">
        <v>0.16</v>
      </c>
      <c r="G947" s="4">
        <v>26</v>
      </c>
      <c r="H947" s="8">
        <v>3.15</v>
      </c>
      <c r="I947" s="4">
        <v>0</v>
      </c>
    </row>
    <row r="948" spans="1:9" x14ac:dyDescent="0.2">
      <c r="A948" s="2">
        <v>15</v>
      </c>
      <c r="B948" s="1" t="s">
        <v>103</v>
      </c>
      <c r="C948" s="4">
        <v>24</v>
      </c>
      <c r="D948" s="8">
        <v>1.63</v>
      </c>
      <c r="E948" s="4">
        <v>14</v>
      </c>
      <c r="F948" s="8">
        <v>2.2200000000000002</v>
      </c>
      <c r="G948" s="4">
        <v>10</v>
      </c>
      <c r="H948" s="8">
        <v>1.21</v>
      </c>
      <c r="I948" s="4">
        <v>0</v>
      </c>
    </row>
    <row r="949" spans="1:9" x14ac:dyDescent="0.2">
      <c r="A949" s="2">
        <v>16</v>
      </c>
      <c r="B949" s="1" t="s">
        <v>101</v>
      </c>
      <c r="C949" s="4">
        <v>22</v>
      </c>
      <c r="D949" s="8">
        <v>1.5</v>
      </c>
      <c r="E949" s="4">
        <v>7</v>
      </c>
      <c r="F949" s="8">
        <v>1.1100000000000001</v>
      </c>
      <c r="G949" s="4">
        <v>15</v>
      </c>
      <c r="H949" s="8">
        <v>1.82</v>
      </c>
      <c r="I949" s="4">
        <v>0</v>
      </c>
    </row>
    <row r="950" spans="1:9" x14ac:dyDescent="0.2">
      <c r="A950" s="2">
        <v>17</v>
      </c>
      <c r="B950" s="1" t="s">
        <v>98</v>
      </c>
      <c r="C950" s="4">
        <v>21</v>
      </c>
      <c r="D950" s="8">
        <v>1.43</v>
      </c>
      <c r="E950" s="4">
        <v>5</v>
      </c>
      <c r="F950" s="8">
        <v>0.79</v>
      </c>
      <c r="G950" s="4">
        <v>16</v>
      </c>
      <c r="H950" s="8">
        <v>1.94</v>
      </c>
      <c r="I950" s="4">
        <v>0</v>
      </c>
    </row>
    <row r="951" spans="1:9" x14ac:dyDescent="0.2">
      <c r="A951" s="2">
        <v>18</v>
      </c>
      <c r="B951" s="1" t="s">
        <v>114</v>
      </c>
      <c r="C951" s="4">
        <v>20</v>
      </c>
      <c r="D951" s="8">
        <v>1.36</v>
      </c>
      <c r="E951" s="4">
        <v>3</v>
      </c>
      <c r="F951" s="8">
        <v>0.48</v>
      </c>
      <c r="G951" s="4">
        <v>17</v>
      </c>
      <c r="H951" s="8">
        <v>2.06</v>
      </c>
      <c r="I951" s="4">
        <v>0</v>
      </c>
    </row>
    <row r="952" spans="1:9" x14ac:dyDescent="0.2">
      <c r="A952" s="2">
        <v>19</v>
      </c>
      <c r="B952" s="1" t="s">
        <v>97</v>
      </c>
      <c r="C952" s="4">
        <v>19</v>
      </c>
      <c r="D952" s="8">
        <v>1.29</v>
      </c>
      <c r="E952" s="4">
        <v>9</v>
      </c>
      <c r="F952" s="8">
        <v>1.43</v>
      </c>
      <c r="G952" s="4">
        <v>10</v>
      </c>
      <c r="H952" s="8">
        <v>1.21</v>
      </c>
      <c r="I952" s="4">
        <v>0</v>
      </c>
    </row>
    <row r="953" spans="1:9" x14ac:dyDescent="0.2">
      <c r="A953" s="2">
        <v>19</v>
      </c>
      <c r="B953" s="1" t="s">
        <v>99</v>
      </c>
      <c r="C953" s="4">
        <v>19</v>
      </c>
      <c r="D953" s="8">
        <v>1.29</v>
      </c>
      <c r="E953" s="4">
        <v>1</v>
      </c>
      <c r="F953" s="8">
        <v>0.16</v>
      </c>
      <c r="G953" s="4">
        <v>18</v>
      </c>
      <c r="H953" s="8">
        <v>2.1800000000000002</v>
      </c>
      <c r="I953" s="4">
        <v>0</v>
      </c>
    </row>
    <row r="954" spans="1:9" x14ac:dyDescent="0.2">
      <c r="A954" s="2">
        <v>19</v>
      </c>
      <c r="B954" s="1" t="s">
        <v>100</v>
      </c>
      <c r="C954" s="4">
        <v>19</v>
      </c>
      <c r="D954" s="8">
        <v>1.29</v>
      </c>
      <c r="E954" s="4">
        <v>0</v>
      </c>
      <c r="F954" s="8">
        <v>0</v>
      </c>
      <c r="G954" s="4">
        <v>19</v>
      </c>
      <c r="H954" s="8">
        <v>2.2999999999999998</v>
      </c>
      <c r="I954" s="4">
        <v>0</v>
      </c>
    </row>
    <row r="955" spans="1:9" x14ac:dyDescent="0.2">
      <c r="A955" s="1"/>
      <c r="C955" s="4"/>
      <c r="D955" s="8"/>
      <c r="E955" s="4"/>
      <c r="F955" s="8"/>
      <c r="G955" s="4"/>
      <c r="H955" s="8"/>
      <c r="I955" s="4"/>
    </row>
    <row r="956" spans="1:9" x14ac:dyDescent="0.2">
      <c r="A956" s="1" t="s">
        <v>43</v>
      </c>
      <c r="C956" s="4"/>
      <c r="D956" s="8"/>
      <c r="E956" s="4"/>
      <c r="F956" s="8"/>
      <c r="G956" s="4"/>
      <c r="H956" s="8"/>
      <c r="I956" s="4"/>
    </row>
    <row r="957" spans="1:9" x14ac:dyDescent="0.2">
      <c r="A957" s="2">
        <v>1</v>
      </c>
      <c r="B957" s="1" t="s">
        <v>111</v>
      </c>
      <c r="C957" s="4">
        <v>92</v>
      </c>
      <c r="D957" s="8">
        <v>10.72</v>
      </c>
      <c r="E957" s="4">
        <v>82</v>
      </c>
      <c r="F957" s="8">
        <v>17.34</v>
      </c>
      <c r="G957" s="4">
        <v>10</v>
      </c>
      <c r="H957" s="8">
        <v>2.62</v>
      </c>
      <c r="I957" s="4">
        <v>0</v>
      </c>
    </row>
    <row r="958" spans="1:9" x14ac:dyDescent="0.2">
      <c r="A958" s="2">
        <v>2</v>
      </c>
      <c r="B958" s="1" t="s">
        <v>110</v>
      </c>
      <c r="C958" s="4">
        <v>62</v>
      </c>
      <c r="D958" s="8">
        <v>7.23</v>
      </c>
      <c r="E958" s="4">
        <v>52</v>
      </c>
      <c r="F958" s="8">
        <v>10.99</v>
      </c>
      <c r="G958" s="4">
        <v>10</v>
      </c>
      <c r="H958" s="8">
        <v>2.62</v>
      </c>
      <c r="I958" s="4">
        <v>0</v>
      </c>
    </row>
    <row r="959" spans="1:9" x14ac:dyDescent="0.2">
      <c r="A959" s="2">
        <v>3</v>
      </c>
      <c r="B959" s="1" t="s">
        <v>107</v>
      </c>
      <c r="C959" s="4">
        <v>61</v>
      </c>
      <c r="D959" s="8">
        <v>7.11</v>
      </c>
      <c r="E959" s="4">
        <v>23</v>
      </c>
      <c r="F959" s="8">
        <v>4.8600000000000003</v>
      </c>
      <c r="G959" s="4">
        <v>38</v>
      </c>
      <c r="H959" s="8">
        <v>9.9700000000000006</v>
      </c>
      <c r="I959" s="4">
        <v>0</v>
      </c>
    </row>
    <row r="960" spans="1:9" x14ac:dyDescent="0.2">
      <c r="A960" s="2">
        <v>4</v>
      </c>
      <c r="B960" s="1" t="s">
        <v>126</v>
      </c>
      <c r="C960" s="4">
        <v>52</v>
      </c>
      <c r="D960" s="8">
        <v>6.06</v>
      </c>
      <c r="E960" s="4">
        <v>19</v>
      </c>
      <c r="F960" s="8">
        <v>4.0199999999999996</v>
      </c>
      <c r="G960" s="4">
        <v>33</v>
      </c>
      <c r="H960" s="8">
        <v>8.66</v>
      </c>
      <c r="I960" s="4">
        <v>0</v>
      </c>
    </row>
    <row r="961" spans="1:9" x14ac:dyDescent="0.2">
      <c r="A961" s="2">
        <v>5</v>
      </c>
      <c r="B961" s="1" t="s">
        <v>94</v>
      </c>
      <c r="C961" s="4">
        <v>51</v>
      </c>
      <c r="D961" s="8">
        <v>5.94</v>
      </c>
      <c r="E961" s="4">
        <v>19</v>
      </c>
      <c r="F961" s="8">
        <v>4.0199999999999996</v>
      </c>
      <c r="G961" s="4">
        <v>32</v>
      </c>
      <c r="H961" s="8">
        <v>8.4</v>
      </c>
      <c r="I961" s="4">
        <v>0</v>
      </c>
    </row>
    <row r="962" spans="1:9" x14ac:dyDescent="0.2">
      <c r="A962" s="2">
        <v>6</v>
      </c>
      <c r="B962" s="1" t="s">
        <v>105</v>
      </c>
      <c r="C962" s="4">
        <v>49</v>
      </c>
      <c r="D962" s="8">
        <v>5.71</v>
      </c>
      <c r="E962" s="4">
        <v>30</v>
      </c>
      <c r="F962" s="8">
        <v>6.34</v>
      </c>
      <c r="G962" s="4">
        <v>19</v>
      </c>
      <c r="H962" s="8">
        <v>4.99</v>
      </c>
      <c r="I962" s="4">
        <v>0</v>
      </c>
    </row>
    <row r="963" spans="1:9" x14ac:dyDescent="0.2">
      <c r="A963" s="2">
        <v>6</v>
      </c>
      <c r="B963" s="1" t="s">
        <v>112</v>
      </c>
      <c r="C963" s="4">
        <v>49</v>
      </c>
      <c r="D963" s="8">
        <v>5.71</v>
      </c>
      <c r="E963" s="4">
        <v>37</v>
      </c>
      <c r="F963" s="8">
        <v>7.82</v>
      </c>
      <c r="G963" s="4">
        <v>11</v>
      </c>
      <c r="H963" s="8">
        <v>2.89</v>
      </c>
      <c r="I963" s="4">
        <v>1</v>
      </c>
    </row>
    <row r="964" spans="1:9" x14ac:dyDescent="0.2">
      <c r="A964" s="2">
        <v>8</v>
      </c>
      <c r="B964" s="1" t="s">
        <v>104</v>
      </c>
      <c r="C964" s="4">
        <v>38</v>
      </c>
      <c r="D964" s="8">
        <v>4.43</v>
      </c>
      <c r="E964" s="4">
        <v>26</v>
      </c>
      <c r="F964" s="8">
        <v>5.5</v>
      </c>
      <c r="G964" s="4">
        <v>12</v>
      </c>
      <c r="H964" s="8">
        <v>3.15</v>
      </c>
      <c r="I964" s="4">
        <v>0</v>
      </c>
    </row>
    <row r="965" spans="1:9" x14ac:dyDescent="0.2">
      <c r="A965" s="2">
        <v>9</v>
      </c>
      <c r="B965" s="1" t="s">
        <v>96</v>
      </c>
      <c r="C965" s="4">
        <v>34</v>
      </c>
      <c r="D965" s="8">
        <v>3.96</v>
      </c>
      <c r="E965" s="4">
        <v>13</v>
      </c>
      <c r="F965" s="8">
        <v>2.75</v>
      </c>
      <c r="G965" s="4">
        <v>21</v>
      </c>
      <c r="H965" s="8">
        <v>5.51</v>
      </c>
      <c r="I965" s="4">
        <v>0</v>
      </c>
    </row>
    <row r="966" spans="1:9" x14ac:dyDescent="0.2">
      <c r="A966" s="2">
        <v>10</v>
      </c>
      <c r="B966" s="1" t="s">
        <v>95</v>
      </c>
      <c r="C966" s="4">
        <v>33</v>
      </c>
      <c r="D966" s="8">
        <v>3.85</v>
      </c>
      <c r="E966" s="4">
        <v>15</v>
      </c>
      <c r="F966" s="8">
        <v>3.17</v>
      </c>
      <c r="G966" s="4">
        <v>18</v>
      </c>
      <c r="H966" s="8">
        <v>4.72</v>
      </c>
      <c r="I966" s="4">
        <v>0</v>
      </c>
    </row>
    <row r="967" spans="1:9" x14ac:dyDescent="0.2">
      <c r="A967" s="2">
        <v>10</v>
      </c>
      <c r="B967" s="1" t="s">
        <v>103</v>
      </c>
      <c r="C967" s="4">
        <v>33</v>
      </c>
      <c r="D967" s="8">
        <v>3.85</v>
      </c>
      <c r="E967" s="4">
        <v>21</v>
      </c>
      <c r="F967" s="8">
        <v>4.4400000000000004</v>
      </c>
      <c r="G967" s="4">
        <v>11</v>
      </c>
      <c r="H967" s="8">
        <v>2.89</v>
      </c>
      <c r="I967" s="4">
        <v>1</v>
      </c>
    </row>
    <row r="968" spans="1:9" x14ac:dyDescent="0.2">
      <c r="A968" s="2">
        <v>12</v>
      </c>
      <c r="B968" s="1" t="s">
        <v>113</v>
      </c>
      <c r="C968" s="4">
        <v>26</v>
      </c>
      <c r="D968" s="8">
        <v>3.03</v>
      </c>
      <c r="E968" s="4">
        <v>22</v>
      </c>
      <c r="F968" s="8">
        <v>4.6500000000000004</v>
      </c>
      <c r="G968" s="4">
        <v>4</v>
      </c>
      <c r="H968" s="8">
        <v>1.05</v>
      </c>
      <c r="I968" s="4">
        <v>0</v>
      </c>
    </row>
    <row r="969" spans="1:9" x14ac:dyDescent="0.2">
      <c r="A969" s="2">
        <v>13</v>
      </c>
      <c r="B969" s="1" t="s">
        <v>98</v>
      </c>
      <c r="C969" s="4">
        <v>25</v>
      </c>
      <c r="D969" s="8">
        <v>2.91</v>
      </c>
      <c r="E969" s="4">
        <v>7</v>
      </c>
      <c r="F969" s="8">
        <v>1.48</v>
      </c>
      <c r="G969" s="4">
        <v>18</v>
      </c>
      <c r="H969" s="8">
        <v>4.72</v>
      </c>
      <c r="I969" s="4">
        <v>0</v>
      </c>
    </row>
    <row r="970" spans="1:9" x14ac:dyDescent="0.2">
      <c r="A970" s="2">
        <v>14</v>
      </c>
      <c r="B970" s="1" t="s">
        <v>108</v>
      </c>
      <c r="C970" s="4">
        <v>21</v>
      </c>
      <c r="D970" s="8">
        <v>2.4500000000000002</v>
      </c>
      <c r="E970" s="4">
        <v>15</v>
      </c>
      <c r="F970" s="8">
        <v>3.17</v>
      </c>
      <c r="G970" s="4">
        <v>6</v>
      </c>
      <c r="H970" s="8">
        <v>1.57</v>
      </c>
      <c r="I970" s="4">
        <v>0</v>
      </c>
    </row>
    <row r="971" spans="1:9" x14ac:dyDescent="0.2">
      <c r="A971" s="2">
        <v>15</v>
      </c>
      <c r="B971" s="1" t="s">
        <v>97</v>
      </c>
      <c r="C971" s="4">
        <v>19</v>
      </c>
      <c r="D971" s="8">
        <v>2.21</v>
      </c>
      <c r="E971" s="4">
        <v>10</v>
      </c>
      <c r="F971" s="8">
        <v>2.11</v>
      </c>
      <c r="G971" s="4">
        <v>9</v>
      </c>
      <c r="H971" s="8">
        <v>2.36</v>
      </c>
      <c r="I971" s="4">
        <v>0</v>
      </c>
    </row>
    <row r="972" spans="1:9" x14ac:dyDescent="0.2">
      <c r="A972" s="2">
        <v>16</v>
      </c>
      <c r="B972" s="1" t="s">
        <v>99</v>
      </c>
      <c r="C972" s="4">
        <v>15</v>
      </c>
      <c r="D972" s="8">
        <v>1.75</v>
      </c>
      <c r="E972" s="4">
        <v>5</v>
      </c>
      <c r="F972" s="8">
        <v>1.06</v>
      </c>
      <c r="G972" s="4">
        <v>10</v>
      </c>
      <c r="H972" s="8">
        <v>2.62</v>
      </c>
      <c r="I972" s="4">
        <v>0</v>
      </c>
    </row>
    <row r="973" spans="1:9" x14ac:dyDescent="0.2">
      <c r="A973" s="2">
        <v>16</v>
      </c>
      <c r="B973" s="1" t="s">
        <v>109</v>
      </c>
      <c r="C973" s="4">
        <v>15</v>
      </c>
      <c r="D973" s="8">
        <v>1.75</v>
      </c>
      <c r="E973" s="4">
        <v>11</v>
      </c>
      <c r="F973" s="8">
        <v>2.33</v>
      </c>
      <c r="G973" s="4">
        <v>4</v>
      </c>
      <c r="H973" s="8">
        <v>1.05</v>
      </c>
      <c r="I973" s="4">
        <v>0</v>
      </c>
    </row>
    <row r="974" spans="1:9" x14ac:dyDescent="0.2">
      <c r="A974" s="2">
        <v>18</v>
      </c>
      <c r="B974" s="1" t="s">
        <v>124</v>
      </c>
      <c r="C974" s="4">
        <v>14</v>
      </c>
      <c r="D974" s="8">
        <v>1.63</v>
      </c>
      <c r="E974" s="4">
        <v>6</v>
      </c>
      <c r="F974" s="8">
        <v>1.27</v>
      </c>
      <c r="G974" s="4">
        <v>8</v>
      </c>
      <c r="H974" s="8">
        <v>2.1</v>
      </c>
      <c r="I974" s="4">
        <v>0</v>
      </c>
    </row>
    <row r="975" spans="1:9" x14ac:dyDescent="0.2">
      <c r="A975" s="2">
        <v>18</v>
      </c>
      <c r="B975" s="1" t="s">
        <v>102</v>
      </c>
      <c r="C975" s="4">
        <v>14</v>
      </c>
      <c r="D975" s="8">
        <v>1.63</v>
      </c>
      <c r="E975" s="4">
        <v>10</v>
      </c>
      <c r="F975" s="8">
        <v>2.11</v>
      </c>
      <c r="G975" s="4">
        <v>4</v>
      </c>
      <c r="H975" s="8">
        <v>1.05</v>
      </c>
      <c r="I975" s="4">
        <v>0</v>
      </c>
    </row>
    <row r="976" spans="1:9" x14ac:dyDescent="0.2">
      <c r="A976" s="2">
        <v>20</v>
      </c>
      <c r="B976" s="1" t="s">
        <v>129</v>
      </c>
      <c r="C976" s="4">
        <v>12</v>
      </c>
      <c r="D976" s="8">
        <v>1.4</v>
      </c>
      <c r="E976" s="4">
        <v>8</v>
      </c>
      <c r="F976" s="8">
        <v>1.69</v>
      </c>
      <c r="G976" s="4">
        <v>4</v>
      </c>
      <c r="H976" s="8">
        <v>1.05</v>
      </c>
      <c r="I976" s="4">
        <v>0</v>
      </c>
    </row>
    <row r="977" spans="1:9" x14ac:dyDescent="0.2">
      <c r="A977" s="1"/>
      <c r="C977" s="4"/>
      <c r="D977" s="8"/>
      <c r="E977" s="4"/>
      <c r="F977" s="8"/>
      <c r="G977" s="4"/>
      <c r="H977" s="8"/>
      <c r="I977" s="4"/>
    </row>
    <row r="978" spans="1:9" x14ac:dyDescent="0.2">
      <c r="A978" s="1" t="s">
        <v>44</v>
      </c>
      <c r="C978" s="4"/>
      <c r="D978" s="8"/>
      <c r="E978" s="4"/>
      <c r="F978" s="8"/>
      <c r="G978" s="4"/>
      <c r="H978" s="8"/>
      <c r="I978" s="4"/>
    </row>
    <row r="979" spans="1:9" x14ac:dyDescent="0.2">
      <c r="A979" s="2">
        <v>1</v>
      </c>
      <c r="B979" s="1" t="s">
        <v>107</v>
      </c>
      <c r="C979" s="4">
        <v>135</v>
      </c>
      <c r="D979" s="8">
        <v>15.63</v>
      </c>
      <c r="E979" s="4">
        <v>73</v>
      </c>
      <c r="F979" s="8">
        <v>16.29</v>
      </c>
      <c r="G979" s="4">
        <v>62</v>
      </c>
      <c r="H979" s="8">
        <v>14.98</v>
      </c>
      <c r="I979" s="4">
        <v>0</v>
      </c>
    </row>
    <row r="980" spans="1:9" x14ac:dyDescent="0.2">
      <c r="A980" s="2">
        <v>2</v>
      </c>
      <c r="B980" s="1" t="s">
        <v>110</v>
      </c>
      <c r="C980" s="4">
        <v>102</v>
      </c>
      <c r="D980" s="8">
        <v>11.81</v>
      </c>
      <c r="E980" s="4">
        <v>93</v>
      </c>
      <c r="F980" s="8">
        <v>20.76</v>
      </c>
      <c r="G980" s="4">
        <v>9</v>
      </c>
      <c r="H980" s="8">
        <v>2.17</v>
      </c>
      <c r="I980" s="4">
        <v>0</v>
      </c>
    </row>
    <row r="981" spans="1:9" x14ac:dyDescent="0.2">
      <c r="A981" s="2">
        <v>3</v>
      </c>
      <c r="B981" s="1" t="s">
        <v>111</v>
      </c>
      <c r="C981" s="4">
        <v>78</v>
      </c>
      <c r="D981" s="8">
        <v>9.0299999999999994</v>
      </c>
      <c r="E981" s="4">
        <v>61</v>
      </c>
      <c r="F981" s="8">
        <v>13.62</v>
      </c>
      <c r="G981" s="4">
        <v>17</v>
      </c>
      <c r="H981" s="8">
        <v>4.1100000000000003</v>
      </c>
      <c r="I981" s="4">
        <v>0</v>
      </c>
    </row>
    <row r="982" spans="1:9" x14ac:dyDescent="0.2">
      <c r="A982" s="2">
        <v>4</v>
      </c>
      <c r="B982" s="1" t="s">
        <v>112</v>
      </c>
      <c r="C982" s="4">
        <v>64</v>
      </c>
      <c r="D982" s="8">
        <v>7.41</v>
      </c>
      <c r="E982" s="4">
        <v>48</v>
      </c>
      <c r="F982" s="8">
        <v>10.71</v>
      </c>
      <c r="G982" s="4">
        <v>16</v>
      </c>
      <c r="H982" s="8">
        <v>3.86</v>
      </c>
      <c r="I982" s="4">
        <v>0</v>
      </c>
    </row>
    <row r="983" spans="1:9" x14ac:dyDescent="0.2">
      <c r="A983" s="2">
        <v>5</v>
      </c>
      <c r="B983" s="1" t="s">
        <v>105</v>
      </c>
      <c r="C983" s="4">
        <v>39</v>
      </c>
      <c r="D983" s="8">
        <v>4.51</v>
      </c>
      <c r="E983" s="4">
        <v>18</v>
      </c>
      <c r="F983" s="8">
        <v>4.0199999999999996</v>
      </c>
      <c r="G983" s="4">
        <v>21</v>
      </c>
      <c r="H983" s="8">
        <v>5.07</v>
      </c>
      <c r="I983" s="4">
        <v>0</v>
      </c>
    </row>
    <row r="984" spans="1:9" x14ac:dyDescent="0.2">
      <c r="A984" s="2">
        <v>6</v>
      </c>
      <c r="B984" s="1" t="s">
        <v>113</v>
      </c>
      <c r="C984" s="4">
        <v>36</v>
      </c>
      <c r="D984" s="8">
        <v>4.17</v>
      </c>
      <c r="E984" s="4">
        <v>29</v>
      </c>
      <c r="F984" s="8">
        <v>6.47</v>
      </c>
      <c r="G984" s="4">
        <v>7</v>
      </c>
      <c r="H984" s="8">
        <v>1.69</v>
      </c>
      <c r="I984" s="4">
        <v>0</v>
      </c>
    </row>
    <row r="985" spans="1:9" x14ac:dyDescent="0.2">
      <c r="A985" s="2">
        <v>7</v>
      </c>
      <c r="B985" s="1" t="s">
        <v>94</v>
      </c>
      <c r="C985" s="4">
        <v>35</v>
      </c>
      <c r="D985" s="8">
        <v>4.05</v>
      </c>
      <c r="E985" s="4">
        <v>4</v>
      </c>
      <c r="F985" s="8">
        <v>0.89</v>
      </c>
      <c r="G985" s="4">
        <v>31</v>
      </c>
      <c r="H985" s="8">
        <v>7.49</v>
      </c>
      <c r="I985" s="4">
        <v>0</v>
      </c>
    </row>
    <row r="986" spans="1:9" x14ac:dyDescent="0.2">
      <c r="A986" s="2">
        <v>8</v>
      </c>
      <c r="B986" s="1" t="s">
        <v>95</v>
      </c>
      <c r="C986" s="4">
        <v>33</v>
      </c>
      <c r="D986" s="8">
        <v>3.82</v>
      </c>
      <c r="E986" s="4">
        <v>11</v>
      </c>
      <c r="F986" s="8">
        <v>2.46</v>
      </c>
      <c r="G986" s="4">
        <v>22</v>
      </c>
      <c r="H986" s="8">
        <v>5.31</v>
      </c>
      <c r="I986" s="4">
        <v>0</v>
      </c>
    </row>
    <row r="987" spans="1:9" x14ac:dyDescent="0.2">
      <c r="A987" s="2">
        <v>9</v>
      </c>
      <c r="B987" s="1" t="s">
        <v>103</v>
      </c>
      <c r="C987" s="4">
        <v>32</v>
      </c>
      <c r="D987" s="8">
        <v>3.7</v>
      </c>
      <c r="E987" s="4">
        <v>20</v>
      </c>
      <c r="F987" s="8">
        <v>4.46</v>
      </c>
      <c r="G987" s="4">
        <v>12</v>
      </c>
      <c r="H987" s="8">
        <v>2.9</v>
      </c>
      <c r="I987" s="4">
        <v>0</v>
      </c>
    </row>
    <row r="988" spans="1:9" x14ac:dyDescent="0.2">
      <c r="A988" s="2">
        <v>10</v>
      </c>
      <c r="B988" s="1" t="s">
        <v>104</v>
      </c>
      <c r="C988" s="4">
        <v>24</v>
      </c>
      <c r="D988" s="8">
        <v>2.78</v>
      </c>
      <c r="E988" s="4">
        <v>15</v>
      </c>
      <c r="F988" s="8">
        <v>3.35</v>
      </c>
      <c r="G988" s="4">
        <v>9</v>
      </c>
      <c r="H988" s="8">
        <v>2.17</v>
      </c>
      <c r="I988" s="4">
        <v>0</v>
      </c>
    </row>
    <row r="989" spans="1:9" x14ac:dyDescent="0.2">
      <c r="A989" s="2">
        <v>11</v>
      </c>
      <c r="B989" s="1" t="s">
        <v>96</v>
      </c>
      <c r="C989" s="4">
        <v>17</v>
      </c>
      <c r="D989" s="8">
        <v>1.97</v>
      </c>
      <c r="E989" s="4">
        <v>0</v>
      </c>
      <c r="F989" s="8">
        <v>0</v>
      </c>
      <c r="G989" s="4">
        <v>17</v>
      </c>
      <c r="H989" s="8">
        <v>4.1100000000000003</v>
      </c>
      <c r="I989" s="4">
        <v>0</v>
      </c>
    </row>
    <row r="990" spans="1:9" x14ac:dyDescent="0.2">
      <c r="A990" s="2">
        <v>11</v>
      </c>
      <c r="B990" s="1" t="s">
        <v>108</v>
      </c>
      <c r="C990" s="4">
        <v>17</v>
      </c>
      <c r="D990" s="8">
        <v>1.97</v>
      </c>
      <c r="E990" s="4">
        <v>11</v>
      </c>
      <c r="F990" s="8">
        <v>2.46</v>
      </c>
      <c r="G990" s="4">
        <v>6</v>
      </c>
      <c r="H990" s="8">
        <v>1.45</v>
      </c>
      <c r="I990" s="4">
        <v>0</v>
      </c>
    </row>
    <row r="991" spans="1:9" x14ac:dyDescent="0.2">
      <c r="A991" s="2">
        <v>13</v>
      </c>
      <c r="B991" s="1" t="s">
        <v>102</v>
      </c>
      <c r="C991" s="4">
        <v>15</v>
      </c>
      <c r="D991" s="8">
        <v>1.74</v>
      </c>
      <c r="E991" s="4">
        <v>8</v>
      </c>
      <c r="F991" s="8">
        <v>1.79</v>
      </c>
      <c r="G991" s="4">
        <v>7</v>
      </c>
      <c r="H991" s="8">
        <v>1.69</v>
      </c>
      <c r="I991" s="4">
        <v>0</v>
      </c>
    </row>
    <row r="992" spans="1:9" x14ac:dyDescent="0.2">
      <c r="A992" s="2">
        <v>14</v>
      </c>
      <c r="B992" s="1" t="s">
        <v>100</v>
      </c>
      <c r="C992" s="4">
        <v>14</v>
      </c>
      <c r="D992" s="8">
        <v>1.62</v>
      </c>
      <c r="E992" s="4">
        <v>2</v>
      </c>
      <c r="F992" s="8">
        <v>0.45</v>
      </c>
      <c r="G992" s="4">
        <v>12</v>
      </c>
      <c r="H992" s="8">
        <v>2.9</v>
      </c>
      <c r="I992" s="4">
        <v>0</v>
      </c>
    </row>
    <row r="993" spans="1:9" x14ac:dyDescent="0.2">
      <c r="A993" s="2">
        <v>15</v>
      </c>
      <c r="B993" s="1" t="s">
        <v>115</v>
      </c>
      <c r="C993" s="4">
        <v>13</v>
      </c>
      <c r="D993" s="8">
        <v>1.5</v>
      </c>
      <c r="E993" s="4">
        <v>5</v>
      </c>
      <c r="F993" s="8">
        <v>1.1200000000000001</v>
      </c>
      <c r="G993" s="4">
        <v>8</v>
      </c>
      <c r="H993" s="8">
        <v>1.93</v>
      </c>
      <c r="I993" s="4">
        <v>0</v>
      </c>
    </row>
    <row r="994" spans="1:9" x14ac:dyDescent="0.2">
      <c r="A994" s="2">
        <v>16</v>
      </c>
      <c r="B994" s="1" t="s">
        <v>98</v>
      </c>
      <c r="C994" s="4">
        <v>12</v>
      </c>
      <c r="D994" s="8">
        <v>1.39</v>
      </c>
      <c r="E994" s="4">
        <v>2</v>
      </c>
      <c r="F994" s="8">
        <v>0.45</v>
      </c>
      <c r="G994" s="4">
        <v>10</v>
      </c>
      <c r="H994" s="8">
        <v>2.42</v>
      </c>
      <c r="I994" s="4">
        <v>0</v>
      </c>
    </row>
    <row r="995" spans="1:9" x14ac:dyDescent="0.2">
      <c r="A995" s="2">
        <v>16</v>
      </c>
      <c r="B995" s="1" t="s">
        <v>101</v>
      </c>
      <c r="C995" s="4">
        <v>12</v>
      </c>
      <c r="D995" s="8">
        <v>1.39</v>
      </c>
      <c r="E995" s="4">
        <v>1</v>
      </c>
      <c r="F995" s="8">
        <v>0.22</v>
      </c>
      <c r="G995" s="4">
        <v>11</v>
      </c>
      <c r="H995" s="8">
        <v>2.66</v>
      </c>
      <c r="I995" s="4">
        <v>0</v>
      </c>
    </row>
    <row r="996" spans="1:9" x14ac:dyDescent="0.2">
      <c r="A996" s="2">
        <v>16</v>
      </c>
      <c r="B996" s="1" t="s">
        <v>109</v>
      </c>
      <c r="C996" s="4">
        <v>12</v>
      </c>
      <c r="D996" s="8">
        <v>1.39</v>
      </c>
      <c r="E996" s="4">
        <v>7</v>
      </c>
      <c r="F996" s="8">
        <v>1.56</v>
      </c>
      <c r="G996" s="4">
        <v>5</v>
      </c>
      <c r="H996" s="8">
        <v>1.21</v>
      </c>
      <c r="I996" s="4">
        <v>0</v>
      </c>
    </row>
    <row r="997" spans="1:9" x14ac:dyDescent="0.2">
      <c r="A997" s="2">
        <v>19</v>
      </c>
      <c r="B997" s="1" t="s">
        <v>125</v>
      </c>
      <c r="C997" s="4">
        <v>11</v>
      </c>
      <c r="D997" s="8">
        <v>1.27</v>
      </c>
      <c r="E997" s="4">
        <v>5</v>
      </c>
      <c r="F997" s="8">
        <v>1.1200000000000001</v>
      </c>
      <c r="G997" s="4">
        <v>6</v>
      </c>
      <c r="H997" s="8">
        <v>1.45</v>
      </c>
      <c r="I997" s="4">
        <v>0</v>
      </c>
    </row>
    <row r="998" spans="1:9" x14ac:dyDescent="0.2">
      <c r="A998" s="2">
        <v>19</v>
      </c>
      <c r="B998" s="1" t="s">
        <v>106</v>
      </c>
      <c r="C998" s="4">
        <v>11</v>
      </c>
      <c r="D998" s="8">
        <v>1.27</v>
      </c>
      <c r="E998" s="4">
        <v>1</v>
      </c>
      <c r="F998" s="8">
        <v>0.22</v>
      </c>
      <c r="G998" s="4">
        <v>10</v>
      </c>
      <c r="H998" s="8">
        <v>2.42</v>
      </c>
      <c r="I998" s="4">
        <v>0</v>
      </c>
    </row>
    <row r="999" spans="1:9" x14ac:dyDescent="0.2">
      <c r="A999" s="1"/>
      <c r="C999" s="4"/>
      <c r="D999" s="8"/>
      <c r="E999" s="4"/>
      <c r="F999" s="8"/>
      <c r="G999" s="4"/>
      <c r="H999" s="8"/>
      <c r="I999" s="4"/>
    </row>
    <row r="1000" spans="1:9" x14ac:dyDescent="0.2">
      <c r="A1000" s="1" t="s">
        <v>45</v>
      </c>
      <c r="C1000" s="4"/>
      <c r="D1000" s="8"/>
      <c r="E1000" s="4"/>
      <c r="F1000" s="8"/>
      <c r="G1000" s="4"/>
      <c r="H1000" s="8"/>
      <c r="I1000" s="4"/>
    </row>
    <row r="1001" spans="1:9" x14ac:dyDescent="0.2">
      <c r="A1001" s="2">
        <v>1</v>
      </c>
      <c r="B1001" s="1" t="s">
        <v>107</v>
      </c>
      <c r="C1001" s="4">
        <v>125</v>
      </c>
      <c r="D1001" s="8">
        <v>9.83</v>
      </c>
      <c r="E1001" s="4">
        <v>54</v>
      </c>
      <c r="F1001" s="8">
        <v>9.4700000000000006</v>
      </c>
      <c r="G1001" s="4">
        <v>71</v>
      </c>
      <c r="H1001" s="8">
        <v>10.19</v>
      </c>
      <c r="I1001" s="4">
        <v>0</v>
      </c>
    </row>
    <row r="1002" spans="1:9" x14ac:dyDescent="0.2">
      <c r="A1002" s="2">
        <v>2</v>
      </c>
      <c r="B1002" s="1" t="s">
        <v>111</v>
      </c>
      <c r="C1002" s="4">
        <v>107</v>
      </c>
      <c r="D1002" s="8">
        <v>8.41</v>
      </c>
      <c r="E1002" s="4">
        <v>85</v>
      </c>
      <c r="F1002" s="8">
        <v>14.91</v>
      </c>
      <c r="G1002" s="4">
        <v>22</v>
      </c>
      <c r="H1002" s="8">
        <v>3.16</v>
      </c>
      <c r="I1002" s="4">
        <v>0</v>
      </c>
    </row>
    <row r="1003" spans="1:9" x14ac:dyDescent="0.2">
      <c r="A1003" s="2">
        <v>3</v>
      </c>
      <c r="B1003" s="1" t="s">
        <v>110</v>
      </c>
      <c r="C1003" s="4">
        <v>85</v>
      </c>
      <c r="D1003" s="8">
        <v>6.68</v>
      </c>
      <c r="E1003" s="4">
        <v>69</v>
      </c>
      <c r="F1003" s="8">
        <v>12.11</v>
      </c>
      <c r="G1003" s="4">
        <v>16</v>
      </c>
      <c r="H1003" s="8">
        <v>2.2999999999999998</v>
      </c>
      <c r="I1003" s="4">
        <v>0</v>
      </c>
    </row>
    <row r="1004" spans="1:9" x14ac:dyDescent="0.2">
      <c r="A1004" s="2">
        <v>4</v>
      </c>
      <c r="B1004" s="1" t="s">
        <v>95</v>
      </c>
      <c r="C1004" s="4">
        <v>72</v>
      </c>
      <c r="D1004" s="8">
        <v>5.66</v>
      </c>
      <c r="E1004" s="4">
        <v>25</v>
      </c>
      <c r="F1004" s="8">
        <v>4.3899999999999997</v>
      </c>
      <c r="G1004" s="4">
        <v>47</v>
      </c>
      <c r="H1004" s="8">
        <v>6.74</v>
      </c>
      <c r="I1004" s="4">
        <v>0</v>
      </c>
    </row>
    <row r="1005" spans="1:9" x14ac:dyDescent="0.2">
      <c r="A1005" s="2">
        <v>5</v>
      </c>
      <c r="B1005" s="1" t="s">
        <v>94</v>
      </c>
      <c r="C1005" s="4">
        <v>71</v>
      </c>
      <c r="D1005" s="8">
        <v>5.58</v>
      </c>
      <c r="E1005" s="4">
        <v>15</v>
      </c>
      <c r="F1005" s="8">
        <v>2.63</v>
      </c>
      <c r="G1005" s="4">
        <v>56</v>
      </c>
      <c r="H1005" s="8">
        <v>8.0299999999999994</v>
      </c>
      <c r="I1005" s="4">
        <v>0</v>
      </c>
    </row>
    <row r="1006" spans="1:9" x14ac:dyDescent="0.2">
      <c r="A1006" s="2">
        <v>6</v>
      </c>
      <c r="B1006" s="1" t="s">
        <v>105</v>
      </c>
      <c r="C1006" s="4">
        <v>67</v>
      </c>
      <c r="D1006" s="8">
        <v>5.27</v>
      </c>
      <c r="E1006" s="4">
        <v>33</v>
      </c>
      <c r="F1006" s="8">
        <v>5.79</v>
      </c>
      <c r="G1006" s="4">
        <v>34</v>
      </c>
      <c r="H1006" s="8">
        <v>4.88</v>
      </c>
      <c r="I1006" s="4">
        <v>0</v>
      </c>
    </row>
    <row r="1007" spans="1:9" x14ac:dyDescent="0.2">
      <c r="A1007" s="2">
        <v>7</v>
      </c>
      <c r="B1007" s="1" t="s">
        <v>96</v>
      </c>
      <c r="C1007" s="4">
        <v>62</v>
      </c>
      <c r="D1007" s="8">
        <v>4.87</v>
      </c>
      <c r="E1007" s="4">
        <v>11</v>
      </c>
      <c r="F1007" s="8">
        <v>1.93</v>
      </c>
      <c r="G1007" s="4">
        <v>50</v>
      </c>
      <c r="H1007" s="8">
        <v>7.17</v>
      </c>
      <c r="I1007" s="4">
        <v>1</v>
      </c>
    </row>
    <row r="1008" spans="1:9" x14ac:dyDescent="0.2">
      <c r="A1008" s="2">
        <v>8</v>
      </c>
      <c r="B1008" s="1" t="s">
        <v>112</v>
      </c>
      <c r="C1008" s="4">
        <v>59</v>
      </c>
      <c r="D1008" s="8">
        <v>4.6399999999999997</v>
      </c>
      <c r="E1008" s="4">
        <v>47</v>
      </c>
      <c r="F1008" s="8">
        <v>8.25</v>
      </c>
      <c r="G1008" s="4">
        <v>9</v>
      </c>
      <c r="H1008" s="8">
        <v>1.29</v>
      </c>
      <c r="I1008" s="4">
        <v>0</v>
      </c>
    </row>
    <row r="1009" spans="1:9" x14ac:dyDescent="0.2">
      <c r="A1009" s="2">
        <v>9</v>
      </c>
      <c r="B1009" s="1" t="s">
        <v>104</v>
      </c>
      <c r="C1009" s="4">
        <v>51</v>
      </c>
      <c r="D1009" s="8">
        <v>4.01</v>
      </c>
      <c r="E1009" s="4">
        <v>25</v>
      </c>
      <c r="F1009" s="8">
        <v>4.3899999999999997</v>
      </c>
      <c r="G1009" s="4">
        <v>26</v>
      </c>
      <c r="H1009" s="8">
        <v>3.73</v>
      </c>
      <c r="I1009" s="4">
        <v>0</v>
      </c>
    </row>
    <row r="1010" spans="1:9" x14ac:dyDescent="0.2">
      <c r="A1010" s="2">
        <v>9</v>
      </c>
      <c r="B1010" s="1" t="s">
        <v>113</v>
      </c>
      <c r="C1010" s="4">
        <v>51</v>
      </c>
      <c r="D1010" s="8">
        <v>4.01</v>
      </c>
      <c r="E1010" s="4">
        <v>42</v>
      </c>
      <c r="F1010" s="8">
        <v>7.37</v>
      </c>
      <c r="G1010" s="4">
        <v>9</v>
      </c>
      <c r="H1010" s="8">
        <v>1.29</v>
      </c>
      <c r="I1010" s="4">
        <v>0</v>
      </c>
    </row>
    <row r="1011" spans="1:9" x14ac:dyDescent="0.2">
      <c r="A1011" s="2">
        <v>11</v>
      </c>
      <c r="B1011" s="1" t="s">
        <v>98</v>
      </c>
      <c r="C1011" s="4">
        <v>45</v>
      </c>
      <c r="D1011" s="8">
        <v>3.54</v>
      </c>
      <c r="E1011" s="4">
        <v>9</v>
      </c>
      <c r="F1011" s="8">
        <v>1.58</v>
      </c>
      <c r="G1011" s="4">
        <v>36</v>
      </c>
      <c r="H1011" s="8">
        <v>5.16</v>
      </c>
      <c r="I1011" s="4">
        <v>0</v>
      </c>
    </row>
    <row r="1012" spans="1:9" x14ac:dyDescent="0.2">
      <c r="A1012" s="2">
        <v>12</v>
      </c>
      <c r="B1012" s="1" t="s">
        <v>109</v>
      </c>
      <c r="C1012" s="4">
        <v>39</v>
      </c>
      <c r="D1012" s="8">
        <v>3.07</v>
      </c>
      <c r="E1012" s="4">
        <v>19</v>
      </c>
      <c r="F1012" s="8">
        <v>3.33</v>
      </c>
      <c r="G1012" s="4">
        <v>20</v>
      </c>
      <c r="H1012" s="8">
        <v>2.87</v>
      </c>
      <c r="I1012" s="4">
        <v>0</v>
      </c>
    </row>
    <row r="1013" spans="1:9" x14ac:dyDescent="0.2">
      <c r="A1013" s="2">
        <v>13</v>
      </c>
      <c r="B1013" s="1" t="s">
        <v>97</v>
      </c>
      <c r="C1013" s="4">
        <v>38</v>
      </c>
      <c r="D1013" s="8">
        <v>2.99</v>
      </c>
      <c r="E1013" s="4">
        <v>9</v>
      </c>
      <c r="F1013" s="8">
        <v>1.58</v>
      </c>
      <c r="G1013" s="4">
        <v>29</v>
      </c>
      <c r="H1013" s="8">
        <v>4.16</v>
      </c>
      <c r="I1013" s="4">
        <v>0</v>
      </c>
    </row>
    <row r="1014" spans="1:9" x14ac:dyDescent="0.2">
      <c r="A1014" s="2">
        <v>14</v>
      </c>
      <c r="B1014" s="1" t="s">
        <v>108</v>
      </c>
      <c r="C1014" s="4">
        <v>33</v>
      </c>
      <c r="D1014" s="8">
        <v>2.59</v>
      </c>
      <c r="E1014" s="4">
        <v>21</v>
      </c>
      <c r="F1014" s="8">
        <v>3.68</v>
      </c>
      <c r="G1014" s="4">
        <v>12</v>
      </c>
      <c r="H1014" s="8">
        <v>1.72</v>
      </c>
      <c r="I1014" s="4">
        <v>0</v>
      </c>
    </row>
    <row r="1015" spans="1:9" x14ac:dyDescent="0.2">
      <c r="A1015" s="2">
        <v>15</v>
      </c>
      <c r="B1015" s="1" t="s">
        <v>124</v>
      </c>
      <c r="C1015" s="4">
        <v>21</v>
      </c>
      <c r="D1015" s="8">
        <v>1.65</v>
      </c>
      <c r="E1015" s="4">
        <v>6</v>
      </c>
      <c r="F1015" s="8">
        <v>1.05</v>
      </c>
      <c r="G1015" s="4">
        <v>15</v>
      </c>
      <c r="H1015" s="8">
        <v>2.15</v>
      </c>
      <c r="I1015" s="4">
        <v>0</v>
      </c>
    </row>
    <row r="1016" spans="1:9" x14ac:dyDescent="0.2">
      <c r="A1016" s="2">
        <v>15</v>
      </c>
      <c r="B1016" s="1" t="s">
        <v>99</v>
      </c>
      <c r="C1016" s="4">
        <v>21</v>
      </c>
      <c r="D1016" s="8">
        <v>1.65</v>
      </c>
      <c r="E1016" s="4">
        <v>7</v>
      </c>
      <c r="F1016" s="8">
        <v>1.23</v>
      </c>
      <c r="G1016" s="4">
        <v>14</v>
      </c>
      <c r="H1016" s="8">
        <v>2.0099999999999998</v>
      </c>
      <c r="I1016" s="4">
        <v>0</v>
      </c>
    </row>
    <row r="1017" spans="1:9" x14ac:dyDescent="0.2">
      <c r="A1017" s="2">
        <v>17</v>
      </c>
      <c r="B1017" s="1" t="s">
        <v>116</v>
      </c>
      <c r="C1017" s="4">
        <v>20</v>
      </c>
      <c r="D1017" s="8">
        <v>1.57</v>
      </c>
      <c r="E1017" s="4">
        <v>1</v>
      </c>
      <c r="F1017" s="8">
        <v>0.18</v>
      </c>
      <c r="G1017" s="4">
        <v>18</v>
      </c>
      <c r="H1017" s="8">
        <v>2.58</v>
      </c>
      <c r="I1017" s="4">
        <v>0</v>
      </c>
    </row>
    <row r="1018" spans="1:9" x14ac:dyDescent="0.2">
      <c r="A1018" s="2">
        <v>18</v>
      </c>
      <c r="B1018" s="1" t="s">
        <v>100</v>
      </c>
      <c r="C1018" s="4">
        <v>19</v>
      </c>
      <c r="D1018" s="8">
        <v>1.49</v>
      </c>
      <c r="E1018" s="4">
        <v>2</v>
      </c>
      <c r="F1018" s="8">
        <v>0.35</v>
      </c>
      <c r="G1018" s="4">
        <v>17</v>
      </c>
      <c r="H1018" s="8">
        <v>2.44</v>
      </c>
      <c r="I1018" s="4">
        <v>0</v>
      </c>
    </row>
    <row r="1019" spans="1:9" x14ac:dyDescent="0.2">
      <c r="A1019" s="2">
        <v>18</v>
      </c>
      <c r="B1019" s="1" t="s">
        <v>102</v>
      </c>
      <c r="C1019" s="4">
        <v>19</v>
      </c>
      <c r="D1019" s="8">
        <v>1.49</v>
      </c>
      <c r="E1019" s="4">
        <v>15</v>
      </c>
      <c r="F1019" s="8">
        <v>2.63</v>
      </c>
      <c r="G1019" s="4">
        <v>4</v>
      </c>
      <c r="H1019" s="8">
        <v>0.56999999999999995</v>
      </c>
      <c r="I1019" s="4">
        <v>0</v>
      </c>
    </row>
    <row r="1020" spans="1:9" x14ac:dyDescent="0.2">
      <c r="A1020" s="2">
        <v>20</v>
      </c>
      <c r="B1020" s="1" t="s">
        <v>103</v>
      </c>
      <c r="C1020" s="4">
        <v>18</v>
      </c>
      <c r="D1020" s="8">
        <v>1.42</v>
      </c>
      <c r="E1020" s="4">
        <v>10</v>
      </c>
      <c r="F1020" s="8">
        <v>1.75</v>
      </c>
      <c r="G1020" s="4">
        <v>8</v>
      </c>
      <c r="H1020" s="8">
        <v>1.1499999999999999</v>
      </c>
      <c r="I1020" s="4">
        <v>0</v>
      </c>
    </row>
    <row r="1021" spans="1:9" x14ac:dyDescent="0.2">
      <c r="A1021" s="1"/>
      <c r="C1021" s="4"/>
      <c r="D1021" s="8"/>
      <c r="E1021" s="4"/>
      <c r="F1021" s="8"/>
      <c r="G1021" s="4"/>
      <c r="H1021" s="8"/>
      <c r="I1021" s="4"/>
    </row>
    <row r="1022" spans="1:9" x14ac:dyDescent="0.2">
      <c r="A1022" s="1" t="s">
        <v>46</v>
      </c>
      <c r="C1022" s="4"/>
      <c r="D1022" s="8"/>
      <c r="E1022" s="4"/>
      <c r="F1022" s="8"/>
      <c r="G1022" s="4"/>
      <c r="H1022" s="8"/>
      <c r="I1022" s="4"/>
    </row>
    <row r="1023" spans="1:9" x14ac:dyDescent="0.2">
      <c r="A1023" s="2">
        <v>1</v>
      </c>
      <c r="B1023" s="1" t="s">
        <v>107</v>
      </c>
      <c r="C1023" s="4">
        <v>138</v>
      </c>
      <c r="D1023" s="8">
        <v>9.99</v>
      </c>
      <c r="E1023" s="4">
        <v>35</v>
      </c>
      <c r="F1023" s="8">
        <v>6.72</v>
      </c>
      <c r="G1023" s="4">
        <v>103</v>
      </c>
      <c r="H1023" s="8">
        <v>12.05</v>
      </c>
      <c r="I1023" s="4">
        <v>0</v>
      </c>
    </row>
    <row r="1024" spans="1:9" x14ac:dyDescent="0.2">
      <c r="A1024" s="2">
        <v>2</v>
      </c>
      <c r="B1024" s="1" t="s">
        <v>111</v>
      </c>
      <c r="C1024" s="4">
        <v>135</v>
      </c>
      <c r="D1024" s="8">
        <v>9.77</v>
      </c>
      <c r="E1024" s="4">
        <v>99</v>
      </c>
      <c r="F1024" s="8">
        <v>19</v>
      </c>
      <c r="G1024" s="4">
        <v>36</v>
      </c>
      <c r="H1024" s="8">
        <v>4.21</v>
      </c>
      <c r="I1024" s="4">
        <v>0</v>
      </c>
    </row>
    <row r="1025" spans="1:9" x14ac:dyDescent="0.2">
      <c r="A1025" s="2">
        <v>3</v>
      </c>
      <c r="B1025" s="1" t="s">
        <v>94</v>
      </c>
      <c r="C1025" s="4">
        <v>96</v>
      </c>
      <c r="D1025" s="8">
        <v>6.95</v>
      </c>
      <c r="E1025" s="4">
        <v>7</v>
      </c>
      <c r="F1025" s="8">
        <v>1.34</v>
      </c>
      <c r="G1025" s="4">
        <v>88</v>
      </c>
      <c r="H1025" s="8">
        <v>10.29</v>
      </c>
      <c r="I1025" s="4">
        <v>1</v>
      </c>
    </row>
    <row r="1026" spans="1:9" x14ac:dyDescent="0.2">
      <c r="A1026" s="2">
        <v>4</v>
      </c>
      <c r="B1026" s="1" t="s">
        <v>110</v>
      </c>
      <c r="C1026" s="4">
        <v>88</v>
      </c>
      <c r="D1026" s="8">
        <v>6.37</v>
      </c>
      <c r="E1026" s="4">
        <v>71</v>
      </c>
      <c r="F1026" s="8">
        <v>13.63</v>
      </c>
      <c r="G1026" s="4">
        <v>17</v>
      </c>
      <c r="H1026" s="8">
        <v>1.99</v>
      </c>
      <c r="I1026" s="4">
        <v>0</v>
      </c>
    </row>
    <row r="1027" spans="1:9" x14ac:dyDescent="0.2">
      <c r="A1027" s="2">
        <v>5</v>
      </c>
      <c r="B1027" s="1" t="s">
        <v>112</v>
      </c>
      <c r="C1027" s="4">
        <v>80</v>
      </c>
      <c r="D1027" s="8">
        <v>5.79</v>
      </c>
      <c r="E1027" s="4">
        <v>49</v>
      </c>
      <c r="F1027" s="8">
        <v>9.4</v>
      </c>
      <c r="G1027" s="4">
        <v>30</v>
      </c>
      <c r="H1027" s="8">
        <v>3.51</v>
      </c>
      <c r="I1027" s="4">
        <v>0</v>
      </c>
    </row>
    <row r="1028" spans="1:9" x14ac:dyDescent="0.2">
      <c r="A1028" s="2">
        <v>6</v>
      </c>
      <c r="B1028" s="1" t="s">
        <v>95</v>
      </c>
      <c r="C1028" s="4">
        <v>74</v>
      </c>
      <c r="D1028" s="8">
        <v>5.35</v>
      </c>
      <c r="E1028" s="4">
        <v>18</v>
      </c>
      <c r="F1028" s="8">
        <v>3.45</v>
      </c>
      <c r="G1028" s="4">
        <v>56</v>
      </c>
      <c r="H1028" s="8">
        <v>6.55</v>
      </c>
      <c r="I1028" s="4">
        <v>0</v>
      </c>
    </row>
    <row r="1029" spans="1:9" x14ac:dyDescent="0.2">
      <c r="A1029" s="2">
        <v>7</v>
      </c>
      <c r="B1029" s="1" t="s">
        <v>105</v>
      </c>
      <c r="C1029" s="4">
        <v>67</v>
      </c>
      <c r="D1029" s="8">
        <v>4.8499999999999996</v>
      </c>
      <c r="E1029" s="4">
        <v>26</v>
      </c>
      <c r="F1029" s="8">
        <v>4.99</v>
      </c>
      <c r="G1029" s="4">
        <v>41</v>
      </c>
      <c r="H1029" s="8">
        <v>4.8</v>
      </c>
      <c r="I1029" s="4">
        <v>0</v>
      </c>
    </row>
    <row r="1030" spans="1:9" x14ac:dyDescent="0.2">
      <c r="A1030" s="2">
        <v>8</v>
      </c>
      <c r="B1030" s="1" t="s">
        <v>104</v>
      </c>
      <c r="C1030" s="4">
        <v>51</v>
      </c>
      <c r="D1030" s="8">
        <v>3.69</v>
      </c>
      <c r="E1030" s="4">
        <v>19</v>
      </c>
      <c r="F1030" s="8">
        <v>3.65</v>
      </c>
      <c r="G1030" s="4">
        <v>32</v>
      </c>
      <c r="H1030" s="8">
        <v>3.74</v>
      </c>
      <c r="I1030" s="4">
        <v>0</v>
      </c>
    </row>
    <row r="1031" spans="1:9" x14ac:dyDescent="0.2">
      <c r="A1031" s="2">
        <v>8</v>
      </c>
      <c r="B1031" s="1" t="s">
        <v>113</v>
      </c>
      <c r="C1031" s="4">
        <v>51</v>
      </c>
      <c r="D1031" s="8">
        <v>3.69</v>
      </c>
      <c r="E1031" s="4">
        <v>44</v>
      </c>
      <c r="F1031" s="8">
        <v>8.4499999999999993</v>
      </c>
      <c r="G1031" s="4">
        <v>7</v>
      </c>
      <c r="H1031" s="8">
        <v>0.82</v>
      </c>
      <c r="I1031" s="4">
        <v>0</v>
      </c>
    </row>
    <row r="1032" spans="1:9" x14ac:dyDescent="0.2">
      <c r="A1032" s="2">
        <v>10</v>
      </c>
      <c r="B1032" s="1" t="s">
        <v>108</v>
      </c>
      <c r="C1032" s="4">
        <v>50</v>
      </c>
      <c r="D1032" s="8">
        <v>3.62</v>
      </c>
      <c r="E1032" s="4">
        <v>24</v>
      </c>
      <c r="F1032" s="8">
        <v>4.6100000000000003</v>
      </c>
      <c r="G1032" s="4">
        <v>25</v>
      </c>
      <c r="H1032" s="8">
        <v>2.92</v>
      </c>
      <c r="I1032" s="4">
        <v>1</v>
      </c>
    </row>
    <row r="1033" spans="1:9" x14ac:dyDescent="0.2">
      <c r="A1033" s="2">
        <v>11</v>
      </c>
      <c r="B1033" s="1" t="s">
        <v>96</v>
      </c>
      <c r="C1033" s="4">
        <v>49</v>
      </c>
      <c r="D1033" s="8">
        <v>3.55</v>
      </c>
      <c r="E1033" s="4">
        <v>8</v>
      </c>
      <c r="F1033" s="8">
        <v>1.54</v>
      </c>
      <c r="G1033" s="4">
        <v>41</v>
      </c>
      <c r="H1033" s="8">
        <v>4.8</v>
      </c>
      <c r="I1033" s="4">
        <v>0</v>
      </c>
    </row>
    <row r="1034" spans="1:9" x14ac:dyDescent="0.2">
      <c r="A1034" s="2">
        <v>12</v>
      </c>
      <c r="B1034" s="1" t="s">
        <v>102</v>
      </c>
      <c r="C1034" s="4">
        <v>39</v>
      </c>
      <c r="D1034" s="8">
        <v>2.82</v>
      </c>
      <c r="E1034" s="4">
        <v>10</v>
      </c>
      <c r="F1034" s="8">
        <v>1.92</v>
      </c>
      <c r="G1034" s="4">
        <v>29</v>
      </c>
      <c r="H1034" s="8">
        <v>3.39</v>
      </c>
      <c r="I1034" s="4">
        <v>0</v>
      </c>
    </row>
    <row r="1035" spans="1:9" x14ac:dyDescent="0.2">
      <c r="A1035" s="2">
        <v>13</v>
      </c>
      <c r="B1035" s="1" t="s">
        <v>103</v>
      </c>
      <c r="C1035" s="4">
        <v>30</v>
      </c>
      <c r="D1035" s="8">
        <v>2.17</v>
      </c>
      <c r="E1035" s="4">
        <v>14</v>
      </c>
      <c r="F1035" s="8">
        <v>2.69</v>
      </c>
      <c r="G1035" s="4">
        <v>16</v>
      </c>
      <c r="H1035" s="8">
        <v>1.87</v>
      </c>
      <c r="I1035" s="4">
        <v>0</v>
      </c>
    </row>
    <row r="1036" spans="1:9" x14ac:dyDescent="0.2">
      <c r="A1036" s="2">
        <v>13</v>
      </c>
      <c r="B1036" s="1" t="s">
        <v>109</v>
      </c>
      <c r="C1036" s="4">
        <v>30</v>
      </c>
      <c r="D1036" s="8">
        <v>2.17</v>
      </c>
      <c r="E1036" s="4">
        <v>18</v>
      </c>
      <c r="F1036" s="8">
        <v>3.45</v>
      </c>
      <c r="G1036" s="4">
        <v>12</v>
      </c>
      <c r="H1036" s="8">
        <v>1.4</v>
      </c>
      <c r="I1036" s="4">
        <v>0</v>
      </c>
    </row>
    <row r="1037" spans="1:9" x14ac:dyDescent="0.2">
      <c r="A1037" s="2">
        <v>15</v>
      </c>
      <c r="B1037" s="1" t="s">
        <v>101</v>
      </c>
      <c r="C1037" s="4">
        <v>27</v>
      </c>
      <c r="D1037" s="8">
        <v>1.95</v>
      </c>
      <c r="E1037" s="4">
        <v>7</v>
      </c>
      <c r="F1037" s="8">
        <v>1.34</v>
      </c>
      <c r="G1037" s="4">
        <v>20</v>
      </c>
      <c r="H1037" s="8">
        <v>2.34</v>
      </c>
      <c r="I1037" s="4">
        <v>0</v>
      </c>
    </row>
    <row r="1038" spans="1:9" x14ac:dyDescent="0.2">
      <c r="A1038" s="2">
        <v>16</v>
      </c>
      <c r="B1038" s="1" t="s">
        <v>106</v>
      </c>
      <c r="C1038" s="4">
        <v>24</v>
      </c>
      <c r="D1038" s="8">
        <v>1.74</v>
      </c>
      <c r="E1038" s="4">
        <v>2</v>
      </c>
      <c r="F1038" s="8">
        <v>0.38</v>
      </c>
      <c r="G1038" s="4">
        <v>22</v>
      </c>
      <c r="H1038" s="8">
        <v>2.57</v>
      </c>
      <c r="I1038" s="4">
        <v>0</v>
      </c>
    </row>
    <row r="1039" spans="1:9" x14ac:dyDescent="0.2">
      <c r="A1039" s="2">
        <v>17</v>
      </c>
      <c r="B1039" s="1" t="s">
        <v>116</v>
      </c>
      <c r="C1039" s="4">
        <v>22</v>
      </c>
      <c r="D1039" s="8">
        <v>1.59</v>
      </c>
      <c r="E1039" s="4">
        <v>1</v>
      </c>
      <c r="F1039" s="8">
        <v>0.19</v>
      </c>
      <c r="G1039" s="4">
        <v>21</v>
      </c>
      <c r="H1039" s="8">
        <v>2.46</v>
      </c>
      <c r="I1039" s="4">
        <v>0</v>
      </c>
    </row>
    <row r="1040" spans="1:9" x14ac:dyDescent="0.2">
      <c r="A1040" s="2">
        <v>18</v>
      </c>
      <c r="B1040" s="1" t="s">
        <v>99</v>
      </c>
      <c r="C1040" s="4">
        <v>20</v>
      </c>
      <c r="D1040" s="8">
        <v>1.45</v>
      </c>
      <c r="E1040" s="4">
        <v>2</v>
      </c>
      <c r="F1040" s="8">
        <v>0.38</v>
      </c>
      <c r="G1040" s="4">
        <v>18</v>
      </c>
      <c r="H1040" s="8">
        <v>2.11</v>
      </c>
      <c r="I1040" s="4">
        <v>0</v>
      </c>
    </row>
    <row r="1041" spans="1:9" x14ac:dyDescent="0.2">
      <c r="A1041" s="2">
        <v>19</v>
      </c>
      <c r="B1041" s="1" t="s">
        <v>115</v>
      </c>
      <c r="C1041" s="4">
        <v>19</v>
      </c>
      <c r="D1041" s="8">
        <v>1.37</v>
      </c>
      <c r="E1041" s="4">
        <v>9</v>
      </c>
      <c r="F1041" s="8">
        <v>1.73</v>
      </c>
      <c r="G1041" s="4">
        <v>10</v>
      </c>
      <c r="H1041" s="8">
        <v>1.17</v>
      </c>
      <c r="I1041" s="4">
        <v>0</v>
      </c>
    </row>
    <row r="1042" spans="1:9" x14ac:dyDescent="0.2">
      <c r="A1042" s="2">
        <v>19</v>
      </c>
      <c r="B1042" s="1" t="s">
        <v>122</v>
      </c>
      <c r="C1042" s="4">
        <v>19</v>
      </c>
      <c r="D1042" s="8">
        <v>1.37</v>
      </c>
      <c r="E1042" s="4">
        <v>8</v>
      </c>
      <c r="F1042" s="8">
        <v>1.54</v>
      </c>
      <c r="G1042" s="4">
        <v>11</v>
      </c>
      <c r="H1042" s="8">
        <v>1.29</v>
      </c>
      <c r="I1042" s="4">
        <v>0</v>
      </c>
    </row>
    <row r="1043" spans="1:9" x14ac:dyDescent="0.2">
      <c r="A1043" s="1"/>
      <c r="C1043" s="4"/>
      <c r="D1043" s="8"/>
      <c r="E1043" s="4"/>
      <c r="F1043" s="8"/>
      <c r="G1043" s="4"/>
      <c r="H1043" s="8"/>
      <c r="I1043" s="4"/>
    </row>
    <row r="1044" spans="1:9" x14ac:dyDescent="0.2">
      <c r="A1044" s="1" t="s">
        <v>47</v>
      </c>
      <c r="C1044" s="4"/>
      <c r="D1044" s="8"/>
      <c r="E1044" s="4"/>
      <c r="F1044" s="8"/>
      <c r="G1044" s="4"/>
      <c r="H1044" s="8"/>
      <c r="I1044" s="4"/>
    </row>
    <row r="1045" spans="1:9" x14ac:dyDescent="0.2">
      <c r="A1045" s="2">
        <v>1</v>
      </c>
      <c r="B1045" s="1" t="s">
        <v>110</v>
      </c>
      <c r="C1045" s="4">
        <v>155</v>
      </c>
      <c r="D1045" s="8">
        <v>12.62</v>
      </c>
      <c r="E1045" s="4">
        <v>127</v>
      </c>
      <c r="F1045" s="8">
        <v>18.170000000000002</v>
      </c>
      <c r="G1045" s="4">
        <v>28</v>
      </c>
      <c r="H1045" s="8">
        <v>5.6</v>
      </c>
      <c r="I1045" s="4">
        <v>0</v>
      </c>
    </row>
    <row r="1046" spans="1:9" x14ac:dyDescent="0.2">
      <c r="A1046" s="2">
        <v>2</v>
      </c>
      <c r="B1046" s="1" t="s">
        <v>111</v>
      </c>
      <c r="C1046" s="4">
        <v>146</v>
      </c>
      <c r="D1046" s="8">
        <v>11.89</v>
      </c>
      <c r="E1046" s="4">
        <v>134</v>
      </c>
      <c r="F1046" s="8">
        <v>19.170000000000002</v>
      </c>
      <c r="G1046" s="4">
        <v>12</v>
      </c>
      <c r="H1046" s="8">
        <v>2.4</v>
      </c>
      <c r="I1046" s="4">
        <v>0</v>
      </c>
    </row>
    <row r="1047" spans="1:9" x14ac:dyDescent="0.2">
      <c r="A1047" s="2">
        <v>3</v>
      </c>
      <c r="B1047" s="1" t="s">
        <v>105</v>
      </c>
      <c r="C1047" s="4">
        <v>122</v>
      </c>
      <c r="D1047" s="8">
        <v>9.93</v>
      </c>
      <c r="E1047" s="4">
        <v>61</v>
      </c>
      <c r="F1047" s="8">
        <v>8.73</v>
      </c>
      <c r="G1047" s="4">
        <v>61</v>
      </c>
      <c r="H1047" s="8">
        <v>12.2</v>
      </c>
      <c r="I1047" s="4">
        <v>0</v>
      </c>
    </row>
    <row r="1048" spans="1:9" x14ac:dyDescent="0.2">
      <c r="A1048" s="2">
        <v>4</v>
      </c>
      <c r="B1048" s="1" t="s">
        <v>94</v>
      </c>
      <c r="C1048" s="4">
        <v>101</v>
      </c>
      <c r="D1048" s="8">
        <v>8.2200000000000006</v>
      </c>
      <c r="E1048" s="4">
        <v>28</v>
      </c>
      <c r="F1048" s="8">
        <v>4.01</v>
      </c>
      <c r="G1048" s="4">
        <v>73</v>
      </c>
      <c r="H1048" s="8">
        <v>14.6</v>
      </c>
      <c r="I1048" s="4">
        <v>0</v>
      </c>
    </row>
    <row r="1049" spans="1:9" x14ac:dyDescent="0.2">
      <c r="A1049" s="2">
        <v>5</v>
      </c>
      <c r="B1049" s="1" t="s">
        <v>103</v>
      </c>
      <c r="C1049" s="4">
        <v>87</v>
      </c>
      <c r="D1049" s="8">
        <v>7.08</v>
      </c>
      <c r="E1049" s="4">
        <v>58</v>
      </c>
      <c r="F1049" s="8">
        <v>8.3000000000000007</v>
      </c>
      <c r="G1049" s="4">
        <v>29</v>
      </c>
      <c r="H1049" s="8">
        <v>5.8</v>
      </c>
      <c r="I1049" s="4">
        <v>0</v>
      </c>
    </row>
    <row r="1050" spans="1:9" x14ac:dyDescent="0.2">
      <c r="A1050" s="2">
        <v>6</v>
      </c>
      <c r="B1050" s="1" t="s">
        <v>95</v>
      </c>
      <c r="C1050" s="4">
        <v>60</v>
      </c>
      <c r="D1050" s="8">
        <v>4.8899999999999997</v>
      </c>
      <c r="E1050" s="4">
        <v>36</v>
      </c>
      <c r="F1050" s="8">
        <v>5.15</v>
      </c>
      <c r="G1050" s="4">
        <v>24</v>
      </c>
      <c r="H1050" s="8">
        <v>4.8</v>
      </c>
      <c r="I1050" s="4">
        <v>0</v>
      </c>
    </row>
    <row r="1051" spans="1:9" x14ac:dyDescent="0.2">
      <c r="A1051" s="2">
        <v>7</v>
      </c>
      <c r="B1051" s="1" t="s">
        <v>104</v>
      </c>
      <c r="C1051" s="4">
        <v>56</v>
      </c>
      <c r="D1051" s="8">
        <v>4.5599999999999996</v>
      </c>
      <c r="E1051" s="4">
        <v>40</v>
      </c>
      <c r="F1051" s="8">
        <v>5.72</v>
      </c>
      <c r="G1051" s="4">
        <v>16</v>
      </c>
      <c r="H1051" s="8">
        <v>3.2</v>
      </c>
      <c r="I1051" s="4">
        <v>0</v>
      </c>
    </row>
    <row r="1052" spans="1:9" x14ac:dyDescent="0.2">
      <c r="A1052" s="2">
        <v>8</v>
      </c>
      <c r="B1052" s="1" t="s">
        <v>112</v>
      </c>
      <c r="C1052" s="4">
        <v>43</v>
      </c>
      <c r="D1052" s="8">
        <v>3.5</v>
      </c>
      <c r="E1052" s="4">
        <v>34</v>
      </c>
      <c r="F1052" s="8">
        <v>4.8600000000000003</v>
      </c>
      <c r="G1052" s="4">
        <v>6</v>
      </c>
      <c r="H1052" s="8">
        <v>1.2</v>
      </c>
      <c r="I1052" s="4">
        <v>0</v>
      </c>
    </row>
    <row r="1053" spans="1:9" x14ac:dyDescent="0.2">
      <c r="A1053" s="2">
        <v>9</v>
      </c>
      <c r="B1053" s="1" t="s">
        <v>102</v>
      </c>
      <c r="C1053" s="4">
        <v>39</v>
      </c>
      <c r="D1053" s="8">
        <v>3.18</v>
      </c>
      <c r="E1053" s="4">
        <v>25</v>
      </c>
      <c r="F1053" s="8">
        <v>3.58</v>
      </c>
      <c r="G1053" s="4">
        <v>14</v>
      </c>
      <c r="H1053" s="8">
        <v>2.8</v>
      </c>
      <c r="I1053" s="4">
        <v>0</v>
      </c>
    </row>
    <row r="1054" spans="1:9" x14ac:dyDescent="0.2">
      <c r="A1054" s="2">
        <v>10</v>
      </c>
      <c r="B1054" s="1" t="s">
        <v>113</v>
      </c>
      <c r="C1054" s="4">
        <v>33</v>
      </c>
      <c r="D1054" s="8">
        <v>2.69</v>
      </c>
      <c r="E1054" s="4">
        <v>31</v>
      </c>
      <c r="F1054" s="8">
        <v>4.43</v>
      </c>
      <c r="G1054" s="4">
        <v>2</v>
      </c>
      <c r="H1054" s="8">
        <v>0.4</v>
      </c>
      <c r="I1054" s="4">
        <v>0</v>
      </c>
    </row>
    <row r="1055" spans="1:9" x14ac:dyDescent="0.2">
      <c r="A1055" s="2">
        <v>11</v>
      </c>
      <c r="B1055" s="1" t="s">
        <v>96</v>
      </c>
      <c r="C1055" s="4">
        <v>32</v>
      </c>
      <c r="D1055" s="8">
        <v>2.61</v>
      </c>
      <c r="E1055" s="4">
        <v>9</v>
      </c>
      <c r="F1055" s="8">
        <v>1.29</v>
      </c>
      <c r="G1055" s="4">
        <v>23</v>
      </c>
      <c r="H1055" s="8">
        <v>4.5999999999999996</v>
      </c>
      <c r="I1055" s="4">
        <v>0</v>
      </c>
    </row>
    <row r="1056" spans="1:9" x14ac:dyDescent="0.2">
      <c r="A1056" s="2">
        <v>12</v>
      </c>
      <c r="B1056" s="1" t="s">
        <v>134</v>
      </c>
      <c r="C1056" s="4">
        <v>25</v>
      </c>
      <c r="D1056" s="8">
        <v>2.04</v>
      </c>
      <c r="E1056" s="4">
        <v>8</v>
      </c>
      <c r="F1056" s="8">
        <v>1.1399999999999999</v>
      </c>
      <c r="G1056" s="4">
        <v>17</v>
      </c>
      <c r="H1056" s="8">
        <v>3.4</v>
      </c>
      <c r="I1056" s="4">
        <v>0</v>
      </c>
    </row>
    <row r="1057" spans="1:9" x14ac:dyDescent="0.2">
      <c r="A1057" s="2">
        <v>13</v>
      </c>
      <c r="B1057" s="1" t="s">
        <v>107</v>
      </c>
      <c r="C1057" s="4">
        <v>23</v>
      </c>
      <c r="D1057" s="8">
        <v>1.87</v>
      </c>
      <c r="E1057" s="4">
        <v>6</v>
      </c>
      <c r="F1057" s="8">
        <v>0.86</v>
      </c>
      <c r="G1057" s="4">
        <v>16</v>
      </c>
      <c r="H1057" s="8">
        <v>3.2</v>
      </c>
      <c r="I1057" s="4">
        <v>0</v>
      </c>
    </row>
    <row r="1058" spans="1:9" x14ac:dyDescent="0.2">
      <c r="A1058" s="2">
        <v>14</v>
      </c>
      <c r="B1058" s="1" t="s">
        <v>118</v>
      </c>
      <c r="C1058" s="4">
        <v>22</v>
      </c>
      <c r="D1058" s="8">
        <v>1.79</v>
      </c>
      <c r="E1058" s="4">
        <v>5</v>
      </c>
      <c r="F1058" s="8">
        <v>0.72</v>
      </c>
      <c r="G1058" s="4">
        <v>17</v>
      </c>
      <c r="H1058" s="8">
        <v>3.4</v>
      </c>
      <c r="I1058" s="4">
        <v>0</v>
      </c>
    </row>
    <row r="1059" spans="1:9" x14ac:dyDescent="0.2">
      <c r="A1059" s="2">
        <v>14</v>
      </c>
      <c r="B1059" s="1" t="s">
        <v>136</v>
      </c>
      <c r="C1059" s="4">
        <v>22</v>
      </c>
      <c r="D1059" s="8">
        <v>1.79</v>
      </c>
      <c r="E1059" s="4">
        <v>0</v>
      </c>
      <c r="F1059" s="8">
        <v>0</v>
      </c>
      <c r="G1059" s="4">
        <v>1</v>
      </c>
      <c r="H1059" s="8">
        <v>0.2</v>
      </c>
      <c r="I1059" s="4">
        <v>0</v>
      </c>
    </row>
    <row r="1060" spans="1:9" x14ac:dyDescent="0.2">
      <c r="A1060" s="2">
        <v>16</v>
      </c>
      <c r="B1060" s="1" t="s">
        <v>108</v>
      </c>
      <c r="C1060" s="4">
        <v>18</v>
      </c>
      <c r="D1060" s="8">
        <v>1.47</v>
      </c>
      <c r="E1060" s="4">
        <v>11</v>
      </c>
      <c r="F1060" s="8">
        <v>1.57</v>
      </c>
      <c r="G1060" s="4">
        <v>7</v>
      </c>
      <c r="H1060" s="8">
        <v>1.4</v>
      </c>
      <c r="I1060" s="4">
        <v>0</v>
      </c>
    </row>
    <row r="1061" spans="1:9" x14ac:dyDescent="0.2">
      <c r="A1061" s="2">
        <v>17</v>
      </c>
      <c r="B1061" s="1" t="s">
        <v>109</v>
      </c>
      <c r="C1061" s="4">
        <v>17</v>
      </c>
      <c r="D1061" s="8">
        <v>1.38</v>
      </c>
      <c r="E1061" s="4">
        <v>10</v>
      </c>
      <c r="F1061" s="8">
        <v>1.43</v>
      </c>
      <c r="G1061" s="4">
        <v>7</v>
      </c>
      <c r="H1061" s="8">
        <v>1.4</v>
      </c>
      <c r="I1061" s="4">
        <v>0</v>
      </c>
    </row>
    <row r="1062" spans="1:9" x14ac:dyDescent="0.2">
      <c r="A1062" s="2">
        <v>17</v>
      </c>
      <c r="B1062" s="1" t="s">
        <v>122</v>
      </c>
      <c r="C1062" s="4">
        <v>17</v>
      </c>
      <c r="D1062" s="8">
        <v>1.38</v>
      </c>
      <c r="E1062" s="4">
        <v>15</v>
      </c>
      <c r="F1062" s="8">
        <v>2.15</v>
      </c>
      <c r="G1062" s="4">
        <v>2</v>
      </c>
      <c r="H1062" s="8">
        <v>0.4</v>
      </c>
      <c r="I1062" s="4">
        <v>0</v>
      </c>
    </row>
    <row r="1063" spans="1:9" x14ac:dyDescent="0.2">
      <c r="A1063" s="2">
        <v>19</v>
      </c>
      <c r="B1063" s="1" t="s">
        <v>99</v>
      </c>
      <c r="C1063" s="4">
        <v>16</v>
      </c>
      <c r="D1063" s="8">
        <v>1.3</v>
      </c>
      <c r="E1063" s="4">
        <v>4</v>
      </c>
      <c r="F1063" s="8">
        <v>0.56999999999999995</v>
      </c>
      <c r="G1063" s="4">
        <v>12</v>
      </c>
      <c r="H1063" s="8">
        <v>2.4</v>
      </c>
      <c r="I1063" s="4">
        <v>0</v>
      </c>
    </row>
    <row r="1064" spans="1:9" x14ac:dyDescent="0.2">
      <c r="A1064" s="2">
        <v>20</v>
      </c>
      <c r="B1064" s="1" t="s">
        <v>128</v>
      </c>
      <c r="C1064" s="4">
        <v>14</v>
      </c>
      <c r="D1064" s="8">
        <v>1.1399999999999999</v>
      </c>
      <c r="E1064" s="4">
        <v>5</v>
      </c>
      <c r="F1064" s="8">
        <v>0.72</v>
      </c>
      <c r="G1064" s="4">
        <v>9</v>
      </c>
      <c r="H1064" s="8">
        <v>1.8</v>
      </c>
      <c r="I1064" s="4">
        <v>0</v>
      </c>
    </row>
    <row r="1065" spans="1:9" x14ac:dyDescent="0.2">
      <c r="A1065" s="2">
        <v>20</v>
      </c>
      <c r="B1065" s="1" t="s">
        <v>101</v>
      </c>
      <c r="C1065" s="4">
        <v>14</v>
      </c>
      <c r="D1065" s="8">
        <v>1.1399999999999999</v>
      </c>
      <c r="E1065" s="4">
        <v>1</v>
      </c>
      <c r="F1065" s="8">
        <v>0.14000000000000001</v>
      </c>
      <c r="G1065" s="4">
        <v>13</v>
      </c>
      <c r="H1065" s="8">
        <v>2.6</v>
      </c>
      <c r="I1065" s="4">
        <v>0</v>
      </c>
    </row>
    <row r="1066" spans="1:9" x14ac:dyDescent="0.2">
      <c r="A1066" s="1"/>
      <c r="C1066" s="4"/>
      <c r="D1066" s="8"/>
      <c r="E1066" s="4"/>
      <c r="F1066" s="8"/>
      <c r="G1066" s="4"/>
      <c r="H1066" s="8"/>
      <c r="I1066" s="4"/>
    </row>
    <row r="1067" spans="1:9" x14ac:dyDescent="0.2">
      <c r="A1067" s="1" t="s">
        <v>48</v>
      </c>
      <c r="C1067" s="4"/>
      <c r="D1067" s="8"/>
      <c r="E1067" s="4"/>
      <c r="F1067" s="8"/>
      <c r="G1067" s="4"/>
      <c r="H1067" s="8"/>
      <c r="I1067" s="4"/>
    </row>
    <row r="1068" spans="1:9" x14ac:dyDescent="0.2">
      <c r="A1068" s="2">
        <v>1</v>
      </c>
      <c r="B1068" s="1" t="s">
        <v>110</v>
      </c>
      <c r="C1068" s="4">
        <v>95</v>
      </c>
      <c r="D1068" s="8">
        <v>7.95</v>
      </c>
      <c r="E1068" s="4">
        <v>83</v>
      </c>
      <c r="F1068" s="8">
        <v>13.01</v>
      </c>
      <c r="G1068" s="4">
        <v>12</v>
      </c>
      <c r="H1068" s="8">
        <v>2.17</v>
      </c>
      <c r="I1068" s="4">
        <v>0</v>
      </c>
    </row>
    <row r="1069" spans="1:9" x14ac:dyDescent="0.2">
      <c r="A1069" s="2">
        <v>2</v>
      </c>
      <c r="B1069" s="1" t="s">
        <v>111</v>
      </c>
      <c r="C1069" s="4">
        <v>94</v>
      </c>
      <c r="D1069" s="8">
        <v>7.87</v>
      </c>
      <c r="E1069" s="4">
        <v>84</v>
      </c>
      <c r="F1069" s="8">
        <v>13.17</v>
      </c>
      <c r="G1069" s="4">
        <v>10</v>
      </c>
      <c r="H1069" s="8">
        <v>1.81</v>
      </c>
      <c r="I1069" s="4">
        <v>0</v>
      </c>
    </row>
    <row r="1070" spans="1:9" x14ac:dyDescent="0.2">
      <c r="A1070" s="2">
        <v>3</v>
      </c>
      <c r="B1070" s="1" t="s">
        <v>95</v>
      </c>
      <c r="C1070" s="4">
        <v>93</v>
      </c>
      <c r="D1070" s="8">
        <v>7.78</v>
      </c>
      <c r="E1070" s="4">
        <v>37</v>
      </c>
      <c r="F1070" s="8">
        <v>5.8</v>
      </c>
      <c r="G1070" s="4">
        <v>56</v>
      </c>
      <c r="H1070" s="8">
        <v>10.130000000000001</v>
      </c>
      <c r="I1070" s="4">
        <v>0</v>
      </c>
    </row>
    <row r="1071" spans="1:9" x14ac:dyDescent="0.2">
      <c r="A1071" s="2">
        <v>4</v>
      </c>
      <c r="B1071" s="1" t="s">
        <v>94</v>
      </c>
      <c r="C1071" s="4">
        <v>66</v>
      </c>
      <c r="D1071" s="8">
        <v>5.52</v>
      </c>
      <c r="E1071" s="4">
        <v>22</v>
      </c>
      <c r="F1071" s="8">
        <v>3.45</v>
      </c>
      <c r="G1071" s="4">
        <v>44</v>
      </c>
      <c r="H1071" s="8">
        <v>7.96</v>
      </c>
      <c r="I1071" s="4">
        <v>0</v>
      </c>
    </row>
    <row r="1072" spans="1:9" x14ac:dyDescent="0.2">
      <c r="A1072" s="2">
        <v>5</v>
      </c>
      <c r="B1072" s="1" t="s">
        <v>96</v>
      </c>
      <c r="C1072" s="4">
        <v>55</v>
      </c>
      <c r="D1072" s="8">
        <v>4.5999999999999996</v>
      </c>
      <c r="E1072" s="4">
        <v>20</v>
      </c>
      <c r="F1072" s="8">
        <v>3.13</v>
      </c>
      <c r="G1072" s="4">
        <v>35</v>
      </c>
      <c r="H1072" s="8">
        <v>6.33</v>
      </c>
      <c r="I1072" s="4">
        <v>0</v>
      </c>
    </row>
    <row r="1073" spans="1:9" x14ac:dyDescent="0.2">
      <c r="A1073" s="2">
        <v>6</v>
      </c>
      <c r="B1073" s="1" t="s">
        <v>107</v>
      </c>
      <c r="C1073" s="4">
        <v>53</v>
      </c>
      <c r="D1073" s="8">
        <v>4.4400000000000004</v>
      </c>
      <c r="E1073" s="4">
        <v>26</v>
      </c>
      <c r="F1073" s="8">
        <v>4.08</v>
      </c>
      <c r="G1073" s="4">
        <v>27</v>
      </c>
      <c r="H1073" s="8">
        <v>4.88</v>
      </c>
      <c r="I1073" s="4">
        <v>0</v>
      </c>
    </row>
    <row r="1074" spans="1:9" x14ac:dyDescent="0.2">
      <c r="A1074" s="2">
        <v>7</v>
      </c>
      <c r="B1074" s="1" t="s">
        <v>125</v>
      </c>
      <c r="C1074" s="4">
        <v>48</v>
      </c>
      <c r="D1074" s="8">
        <v>4.0199999999999996</v>
      </c>
      <c r="E1074" s="4">
        <v>30</v>
      </c>
      <c r="F1074" s="8">
        <v>4.7</v>
      </c>
      <c r="G1074" s="4">
        <v>18</v>
      </c>
      <c r="H1074" s="8">
        <v>3.25</v>
      </c>
      <c r="I1074" s="4">
        <v>0</v>
      </c>
    </row>
    <row r="1075" spans="1:9" x14ac:dyDescent="0.2">
      <c r="A1075" s="2">
        <v>8</v>
      </c>
      <c r="B1075" s="1" t="s">
        <v>112</v>
      </c>
      <c r="C1075" s="4">
        <v>47</v>
      </c>
      <c r="D1075" s="8">
        <v>3.93</v>
      </c>
      <c r="E1075" s="4">
        <v>40</v>
      </c>
      <c r="F1075" s="8">
        <v>6.27</v>
      </c>
      <c r="G1075" s="4">
        <v>6</v>
      </c>
      <c r="H1075" s="8">
        <v>1.08</v>
      </c>
      <c r="I1075" s="4">
        <v>0</v>
      </c>
    </row>
    <row r="1076" spans="1:9" x14ac:dyDescent="0.2">
      <c r="A1076" s="2">
        <v>9</v>
      </c>
      <c r="B1076" s="1" t="s">
        <v>105</v>
      </c>
      <c r="C1076" s="4">
        <v>44</v>
      </c>
      <c r="D1076" s="8">
        <v>3.68</v>
      </c>
      <c r="E1076" s="4">
        <v>25</v>
      </c>
      <c r="F1076" s="8">
        <v>3.92</v>
      </c>
      <c r="G1076" s="4">
        <v>19</v>
      </c>
      <c r="H1076" s="8">
        <v>3.44</v>
      </c>
      <c r="I1076" s="4">
        <v>0</v>
      </c>
    </row>
    <row r="1077" spans="1:9" x14ac:dyDescent="0.2">
      <c r="A1077" s="2">
        <v>9</v>
      </c>
      <c r="B1077" s="1" t="s">
        <v>113</v>
      </c>
      <c r="C1077" s="4">
        <v>44</v>
      </c>
      <c r="D1077" s="8">
        <v>3.68</v>
      </c>
      <c r="E1077" s="4">
        <v>40</v>
      </c>
      <c r="F1077" s="8">
        <v>6.27</v>
      </c>
      <c r="G1077" s="4">
        <v>4</v>
      </c>
      <c r="H1077" s="8">
        <v>0.72</v>
      </c>
      <c r="I1077" s="4">
        <v>0</v>
      </c>
    </row>
    <row r="1078" spans="1:9" x14ac:dyDescent="0.2">
      <c r="A1078" s="2">
        <v>11</v>
      </c>
      <c r="B1078" s="1" t="s">
        <v>97</v>
      </c>
      <c r="C1078" s="4">
        <v>39</v>
      </c>
      <c r="D1078" s="8">
        <v>3.26</v>
      </c>
      <c r="E1078" s="4">
        <v>13</v>
      </c>
      <c r="F1078" s="8">
        <v>2.04</v>
      </c>
      <c r="G1078" s="4">
        <v>26</v>
      </c>
      <c r="H1078" s="8">
        <v>4.7</v>
      </c>
      <c r="I1078" s="4">
        <v>0</v>
      </c>
    </row>
    <row r="1079" spans="1:9" x14ac:dyDescent="0.2">
      <c r="A1079" s="2">
        <v>12</v>
      </c>
      <c r="B1079" s="1" t="s">
        <v>104</v>
      </c>
      <c r="C1079" s="4">
        <v>35</v>
      </c>
      <c r="D1079" s="8">
        <v>2.93</v>
      </c>
      <c r="E1079" s="4">
        <v>29</v>
      </c>
      <c r="F1079" s="8">
        <v>4.55</v>
      </c>
      <c r="G1079" s="4">
        <v>6</v>
      </c>
      <c r="H1079" s="8">
        <v>1.08</v>
      </c>
      <c r="I1079" s="4">
        <v>0</v>
      </c>
    </row>
    <row r="1080" spans="1:9" x14ac:dyDescent="0.2">
      <c r="A1080" s="2">
        <v>13</v>
      </c>
      <c r="B1080" s="1" t="s">
        <v>103</v>
      </c>
      <c r="C1080" s="4">
        <v>34</v>
      </c>
      <c r="D1080" s="8">
        <v>2.85</v>
      </c>
      <c r="E1080" s="4">
        <v>25</v>
      </c>
      <c r="F1080" s="8">
        <v>3.92</v>
      </c>
      <c r="G1080" s="4">
        <v>9</v>
      </c>
      <c r="H1080" s="8">
        <v>1.63</v>
      </c>
      <c r="I1080" s="4">
        <v>0</v>
      </c>
    </row>
    <row r="1081" spans="1:9" x14ac:dyDescent="0.2">
      <c r="A1081" s="2">
        <v>14</v>
      </c>
      <c r="B1081" s="1" t="s">
        <v>99</v>
      </c>
      <c r="C1081" s="4">
        <v>26</v>
      </c>
      <c r="D1081" s="8">
        <v>2.1800000000000002</v>
      </c>
      <c r="E1081" s="4">
        <v>5</v>
      </c>
      <c r="F1081" s="8">
        <v>0.78</v>
      </c>
      <c r="G1081" s="4">
        <v>21</v>
      </c>
      <c r="H1081" s="8">
        <v>3.8</v>
      </c>
      <c r="I1081" s="4">
        <v>0</v>
      </c>
    </row>
    <row r="1082" spans="1:9" x14ac:dyDescent="0.2">
      <c r="A1082" s="2">
        <v>15</v>
      </c>
      <c r="B1082" s="1" t="s">
        <v>122</v>
      </c>
      <c r="C1082" s="4">
        <v>24</v>
      </c>
      <c r="D1082" s="8">
        <v>2.0099999999999998</v>
      </c>
      <c r="E1082" s="4">
        <v>20</v>
      </c>
      <c r="F1082" s="8">
        <v>3.13</v>
      </c>
      <c r="G1082" s="4">
        <v>4</v>
      </c>
      <c r="H1082" s="8">
        <v>0.72</v>
      </c>
      <c r="I1082" s="4">
        <v>0</v>
      </c>
    </row>
    <row r="1083" spans="1:9" x14ac:dyDescent="0.2">
      <c r="A1083" s="2">
        <v>16</v>
      </c>
      <c r="B1083" s="1" t="s">
        <v>98</v>
      </c>
      <c r="C1083" s="4">
        <v>22</v>
      </c>
      <c r="D1083" s="8">
        <v>1.84</v>
      </c>
      <c r="E1083" s="4">
        <v>9</v>
      </c>
      <c r="F1083" s="8">
        <v>1.41</v>
      </c>
      <c r="G1083" s="4">
        <v>13</v>
      </c>
      <c r="H1083" s="8">
        <v>2.35</v>
      </c>
      <c r="I1083" s="4">
        <v>0</v>
      </c>
    </row>
    <row r="1084" spans="1:9" x14ac:dyDescent="0.2">
      <c r="A1084" s="2">
        <v>17</v>
      </c>
      <c r="B1084" s="1" t="s">
        <v>131</v>
      </c>
      <c r="C1084" s="4">
        <v>19</v>
      </c>
      <c r="D1084" s="8">
        <v>1.59</v>
      </c>
      <c r="E1084" s="4">
        <v>5</v>
      </c>
      <c r="F1084" s="8">
        <v>0.78</v>
      </c>
      <c r="G1084" s="4">
        <v>14</v>
      </c>
      <c r="H1084" s="8">
        <v>2.5299999999999998</v>
      </c>
      <c r="I1084" s="4">
        <v>0</v>
      </c>
    </row>
    <row r="1085" spans="1:9" x14ac:dyDescent="0.2">
      <c r="A1085" s="2">
        <v>17</v>
      </c>
      <c r="B1085" s="1" t="s">
        <v>102</v>
      </c>
      <c r="C1085" s="4">
        <v>19</v>
      </c>
      <c r="D1085" s="8">
        <v>1.59</v>
      </c>
      <c r="E1085" s="4">
        <v>13</v>
      </c>
      <c r="F1085" s="8">
        <v>2.04</v>
      </c>
      <c r="G1085" s="4">
        <v>6</v>
      </c>
      <c r="H1085" s="8">
        <v>1.08</v>
      </c>
      <c r="I1085" s="4">
        <v>0</v>
      </c>
    </row>
    <row r="1086" spans="1:9" x14ac:dyDescent="0.2">
      <c r="A1086" s="2">
        <v>17</v>
      </c>
      <c r="B1086" s="1" t="s">
        <v>109</v>
      </c>
      <c r="C1086" s="4">
        <v>19</v>
      </c>
      <c r="D1086" s="8">
        <v>1.59</v>
      </c>
      <c r="E1086" s="4">
        <v>7</v>
      </c>
      <c r="F1086" s="8">
        <v>1.1000000000000001</v>
      </c>
      <c r="G1086" s="4">
        <v>12</v>
      </c>
      <c r="H1086" s="8">
        <v>2.17</v>
      </c>
      <c r="I1086" s="4">
        <v>0</v>
      </c>
    </row>
    <row r="1087" spans="1:9" x14ac:dyDescent="0.2">
      <c r="A1087" s="2">
        <v>20</v>
      </c>
      <c r="B1087" s="1" t="s">
        <v>101</v>
      </c>
      <c r="C1087" s="4">
        <v>17</v>
      </c>
      <c r="D1087" s="8">
        <v>1.42</v>
      </c>
      <c r="E1087" s="4">
        <v>6</v>
      </c>
      <c r="F1087" s="8">
        <v>0.94</v>
      </c>
      <c r="G1087" s="4">
        <v>11</v>
      </c>
      <c r="H1087" s="8">
        <v>1.99</v>
      </c>
      <c r="I1087" s="4">
        <v>0</v>
      </c>
    </row>
    <row r="1088" spans="1:9" x14ac:dyDescent="0.2">
      <c r="A1088" s="2">
        <v>20</v>
      </c>
      <c r="B1088" s="1" t="s">
        <v>106</v>
      </c>
      <c r="C1088" s="4">
        <v>17</v>
      </c>
      <c r="D1088" s="8">
        <v>1.42</v>
      </c>
      <c r="E1088" s="4">
        <v>4</v>
      </c>
      <c r="F1088" s="8">
        <v>0.63</v>
      </c>
      <c r="G1088" s="4">
        <v>13</v>
      </c>
      <c r="H1088" s="8">
        <v>2.35</v>
      </c>
      <c r="I1088" s="4">
        <v>0</v>
      </c>
    </row>
    <row r="1089" spans="1:9" x14ac:dyDescent="0.2">
      <c r="A1089" s="1"/>
      <c r="C1089" s="4"/>
      <c r="D1089" s="8"/>
      <c r="E1089" s="4"/>
      <c r="F1089" s="8"/>
      <c r="G1089" s="4"/>
      <c r="H1089" s="8"/>
      <c r="I1089" s="4"/>
    </row>
    <row r="1090" spans="1:9" x14ac:dyDescent="0.2">
      <c r="A1090" s="1" t="s">
        <v>49</v>
      </c>
      <c r="C1090" s="4"/>
      <c r="D1090" s="8"/>
      <c r="E1090" s="4"/>
      <c r="F1090" s="8"/>
      <c r="G1090" s="4"/>
      <c r="H1090" s="8"/>
      <c r="I1090" s="4"/>
    </row>
    <row r="1091" spans="1:9" x14ac:dyDescent="0.2">
      <c r="A1091" s="2">
        <v>1</v>
      </c>
      <c r="B1091" s="1" t="s">
        <v>110</v>
      </c>
      <c r="C1091" s="4">
        <v>119</v>
      </c>
      <c r="D1091" s="8">
        <v>7.99</v>
      </c>
      <c r="E1091" s="4">
        <v>102</v>
      </c>
      <c r="F1091" s="8">
        <v>16.5</v>
      </c>
      <c r="G1091" s="4">
        <v>17</v>
      </c>
      <c r="H1091" s="8">
        <v>1.98</v>
      </c>
      <c r="I1091" s="4">
        <v>0</v>
      </c>
    </row>
    <row r="1092" spans="1:9" x14ac:dyDescent="0.2">
      <c r="A1092" s="2">
        <v>2</v>
      </c>
      <c r="B1092" s="1" t="s">
        <v>111</v>
      </c>
      <c r="C1092" s="4">
        <v>110</v>
      </c>
      <c r="D1092" s="8">
        <v>7.38</v>
      </c>
      <c r="E1092" s="4">
        <v>96</v>
      </c>
      <c r="F1092" s="8">
        <v>15.53</v>
      </c>
      <c r="G1092" s="4">
        <v>14</v>
      </c>
      <c r="H1092" s="8">
        <v>1.63</v>
      </c>
      <c r="I1092" s="4">
        <v>0</v>
      </c>
    </row>
    <row r="1093" spans="1:9" x14ac:dyDescent="0.2">
      <c r="A1093" s="2">
        <v>3</v>
      </c>
      <c r="B1093" s="1" t="s">
        <v>107</v>
      </c>
      <c r="C1093" s="4">
        <v>97</v>
      </c>
      <c r="D1093" s="8">
        <v>6.51</v>
      </c>
      <c r="E1093" s="4">
        <v>19</v>
      </c>
      <c r="F1093" s="8">
        <v>3.07</v>
      </c>
      <c r="G1093" s="4">
        <v>78</v>
      </c>
      <c r="H1093" s="8">
        <v>9.08</v>
      </c>
      <c r="I1093" s="4">
        <v>0</v>
      </c>
    </row>
    <row r="1094" spans="1:9" x14ac:dyDescent="0.2">
      <c r="A1094" s="2">
        <v>4</v>
      </c>
      <c r="B1094" s="1" t="s">
        <v>96</v>
      </c>
      <c r="C1094" s="4">
        <v>90</v>
      </c>
      <c r="D1094" s="8">
        <v>6.04</v>
      </c>
      <c r="E1094" s="4">
        <v>17</v>
      </c>
      <c r="F1094" s="8">
        <v>2.75</v>
      </c>
      <c r="G1094" s="4">
        <v>73</v>
      </c>
      <c r="H1094" s="8">
        <v>8.5</v>
      </c>
      <c r="I1094" s="4">
        <v>0</v>
      </c>
    </row>
    <row r="1095" spans="1:9" x14ac:dyDescent="0.2">
      <c r="A1095" s="2">
        <v>5</v>
      </c>
      <c r="B1095" s="1" t="s">
        <v>105</v>
      </c>
      <c r="C1095" s="4">
        <v>70</v>
      </c>
      <c r="D1095" s="8">
        <v>4.7</v>
      </c>
      <c r="E1095" s="4">
        <v>40</v>
      </c>
      <c r="F1095" s="8">
        <v>6.47</v>
      </c>
      <c r="G1095" s="4">
        <v>30</v>
      </c>
      <c r="H1095" s="8">
        <v>3.49</v>
      </c>
      <c r="I1095" s="4">
        <v>0</v>
      </c>
    </row>
    <row r="1096" spans="1:9" x14ac:dyDescent="0.2">
      <c r="A1096" s="2">
        <v>6</v>
      </c>
      <c r="B1096" s="1" t="s">
        <v>95</v>
      </c>
      <c r="C1096" s="4">
        <v>69</v>
      </c>
      <c r="D1096" s="8">
        <v>4.63</v>
      </c>
      <c r="E1096" s="4">
        <v>15</v>
      </c>
      <c r="F1096" s="8">
        <v>2.4300000000000002</v>
      </c>
      <c r="G1096" s="4">
        <v>54</v>
      </c>
      <c r="H1096" s="8">
        <v>6.29</v>
      </c>
      <c r="I1096" s="4">
        <v>0</v>
      </c>
    </row>
    <row r="1097" spans="1:9" x14ac:dyDescent="0.2">
      <c r="A1097" s="2">
        <v>7</v>
      </c>
      <c r="B1097" s="1" t="s">
        <v>94</v>
      </c>
      <c r="C1097" s="4">
        <v>67</v>
      </c>
      <c r="D1097" s="8">
        <v>4.5</v>
      </c>
      <c r="E1097" s="4">
        <v>5</v>
      </c>
      <c r="F1097" s="8">
        <v>0.81</v>
      </c>
      <c r="G1097" s="4">
        <v>62</v>
      </c>
      <c r="H1097" s="8">
        <v>7.22</v>
      </c>
      <c r="I1097" s="4">
        <v>0</v>
      </c>
    </row>
    <row r="1098" spans="1:9" x14ac:dyDescent="0.2">
      <c r="A1098" s="2">
        <v>8</v>
      </c>
      <c r="B1098" s="1" t="s">
        <v>104</v>
      </c>
      <c r="C1098" s="4">
        <v>53</v>
      </c>
      <c r="D1098" s="8">
        <v>3.56</v>
      </c>
      <c r="E1098" s="4">
        <v>30</v>
      </c>
      <c r="F1098" s="8">
        <v>4.8499999999999996</v>
      </c>
      <c r="G1098" s="4">
        <v>23</v>
      </c>
      <c r="H1098" s="8">
        <v>2.68</v>
      </c>
      <c r="I1098" s="4">
        <v>0</v>
      </c>
    </row>
    <row r="1099" spans="1:9" x14ac:dyDescent="0.2">
      <c r="A1099" s="2">
        <v>9</v>
      </c>
      <c r="B1099" s="1" t="s">
        <v>113</v>
      </c>
      <c r="C1099" s="4">
        <v>48</v>
      </c>
      <c r="D1099" s="8">
        <v>3.22</v>
      </c>
      <c r="E1099" s="4">
        <v>44</v>
      </c>
      <c r="F1099" s="8">
        <v>7.12</v>
      </c>
      <c r="G1099" s="4">
        <v>4</v>
      </c>
      <c r="H1099" s="8">
        <v>0.47</v>
      </c>
      <c r="I1099" s="4">
        <v>0</v>
      </c>
    </row>
    <row r="1100" spans="1:9" x14ac:dyDescent="0.2">
      <c r="A1100" s="2">
        <v>10</v>
      </c>
      <c r="B1100" s="1" t="s">
        <v>103</v>
      </c>
      <c r="C1100" s="4">
        <v>45</v>
      </c>
      <c r="D1100" s="8">
        <v>3.02</v>
      </c>
      <c r="E1100" s="4">
        <v>36</v>
      </c>
      <c r="F1100" s="8">
        <v>5.83</v>
      </c>
      <c r="G1100" s="4">
        <v>9</v>
      </c>
      <c r="H1100" s="8">
        <v>1.05</v>
      </c>
      <c r="I1100" s="4">
        <v>0</v>
      </c>
    </row>
    <row r="1101" spans="1:9" x14ac:dyDescent="0.2">
      <c r="A1101" s="2">
        <v>11</v>
      </c>
      <c r="B1101" s="1" t="s">
        <v>112</v>
      </c>
      <c r="C1101" s="4">
        <v>43</v>
      </c>
      <c r="D1101" s="8">
        <v>2.89</v>
      </c>
      <c r="E1101" s="4">
        <v>36</v>
      </c>
      <c r="F1101" s="8">
        <v>5.83</v>
      </c>
      <c r="G1101" s="4">
        <v>5</v>
      </c>
      <c r="H1101" s="8">
        <v>0.57999999999999996</v>
      </c>
      <c r="I1101" s="4">
        <v>1</v>
      </c>
    </row>
    <row r="1102" spans="1:9" x14ac:dyDescent="0.2">
      <c r="A1102" s="2">
        <v>12</v>
      </c>
      <c r="B1102" s="1" t="s">
        <v>100</v>
      </c>
      <c r="C1102" s="4">
        <v>41</v>
      </c>
      <c r="D1102" s="8">
        <v>2.75</v>
      </c>
      <c r="E1102" s="4">
        <v>4</v>
      </c>
      <c r="F1102" s="8">
        <v>0.65</v>
      </c>
      <c r="G1102" s="4">
        <v>37</v>
      </c>
      <c r="H1102" s="8">
        <v>4.3099999999999996</v>
      </c>
      <c r="I1102" s="4">
        <v>0</v>
      </c>
    </row>
    <row r="1103" spans="1:9" x14ac:dyDescent="0.2">
      <c r="A1103" s="2">
        <v>13</v>
      </c>
      <c r="B1103" s="1" t="s">
        <v>98</v>
      </c>
      <c r="C1103" s="4">
        <v>40</v>
      </c>
      <c r="D1103" s="8">
        <v>2.68</v>
      </c>
      <c r="E1103" s="4">
        <v>5</v>
      </c>
      <c r="F1103" s="8">
        <v>0.81</v>
      </c>
      <c r="G1103" s="4">
        <v>35</v>
      </c>
      <c r="H1103" s="8">
        <v>4.07</v>
      </c>
      <c r="I1103" s="4">
        <v>0</v>
      </c>
    </row>
    <row r="1104" spans="1:9" x14ac:dyDescent="0.2">
      <c r="A1104" s="2">
        <v>14</v>
      </c>
      <c r="B1104" s="1" t="s">
        <v>108</v>
      </c>
      <c r="C1104" s="4">
        <v>38</v>
      </c>
      <c r="D1104" s="8">
        <v>2.5499999999999998</v>
      </c>
      <c r="E1104" s="4">
        <v>24</v>
      </c>
      <c r="F1104" s="8">
        <v>3.88</v>
      </c>
      <c r="G1104" s="4">
        <v>14</v>
      </c>
      <c r="H1104" s="8">
        <v>1.63</v>
      </c>
      <c r="I1104" s="4">
        <v>0</v>
      </c>
    </row>
    <row r="1105" spans="1:9" x14ac:dyDescent="0.2">
      <c r="A1105" s="2">
        <v>15</v>
      </c>
      <c r="B1105" s="1" t="s">
        <v>97</v>
      </c>
      <c r="C1105" s="4">
        <v>37</v>
      </c>
      <c r="D1105" s="8">
        <v>2.48</v>
      </c>
      <c r="E1105" s="4">
        <v>11</v>
      </c>
      <c r="F1105" s="8">
        <v>1.78</v>
      </c>
      <c r="G1105" s="4">
        <v>26</v>
      </c>
      <c r="H1105" s="8">
        <v>3.03</v>
      </c>
      <c r="I1105" s="4">
        <v>0</v>
      </c>
    </row>
    <row r="1106" spans="1:9" x14ac:dyDescent="0.2">
      <c r="A1106" s="2">
        <v>16</v>
      </c>
      <c r="B1106" s="1" t="s">
        <v>99</v>
      </c>
      <c r="C1106" s="4">
        <v>33</v>
      </c>
      <c r="D1106" s="8">
        <v>2.21</v>
      </c>
      <c r="E1106" s="4">
        <v>5</v>
      </c>
      <c r="F1106" s="8">
        <v>0.81</v>
      </c>
      <c r="G1106" s="4">
        <v>28</v>
      </c>
      <c r="H1106" s="8">
        <v>3.26</v>
      </c>
      <c r="I1106" s="4">
        <v>0</v>
      </c>
    </row>
    <row r="1107" spans="1:9" x14ac:dyDescent="0.2">
      <c r="A1107" s="2">
        <v>17</v>
      </c>
      <c r="B1107" s="1" t="s">
        <v>125</v>
      </c>
      <c r="C1107" s="4">
        <v>27</v>
      </c>
      <c r="D1107" s="8">
        <v>1.81</v>
      </c>
      <c r="E1107" s="4">
        <v>12</v>
      </c>
      <c r="F1107" s="8">
        <v>1.94</v>
      </c>
      <c r="G1107" s="4">
        <v>15</v>
      </c>
      <c r="H1107" s="8">
        <v>1.75</v>
      </c>
      <c r="I1107" s="4">
        <v>0</v>
      </c>
    </row>
    <row r="1108" spans="1:9" x14ac:dyDescent="0.2">
      <c r="A1108" s="2">
        <v>18</v>
      </c>
      <c r="B1108" s="1" t="s">
        <v>131</v>
      </c>
      <c r="C1108" s="4">
        <v>26</v>
      </c>
      <c r="D1108" s="8">
        <v>1.74</v>
      </c>
      <c r="E1108" s="4">
        <v>2</v>
      </c>
      <c r="F1108" s="8">
        <v>0.32</v>
      </c>
      <c r="G1108" s="4">
        <v>24</v>
      </c>
      <c r="H1108" s="8">
        <v>2.79</v>
      </c>
      <c r="I1108" s="4">
        <v>0</v>
      </c>
    </row>
    <row r="1109" spans="1:9" x14ac:dyDescent="0.2">
      <c r="A1109" s="2">
        <v>19</v>
      </c>
      <c r="B1109" s="1" t="s">
        <v>101</v>
      </c>
      <c r="C1109" s="4">
        <v>25</v>
      </c>
      <c r="D1109" s="8">
        <v>1.68</v>
      </c>
      <c r="E1109" s="4">
        <v>7</v>
      </c>
      <c r="F1109" s="8">
        <v>1.1299999999999999</v>
      </c>
      <c r="G1109" s="4">
        <v>18</v>
      </c>
      <c r="H1109" s="8">
        <v>2.1</v>
      </c>
      <c r="I1109" s="4">
        <v>0</v>
      </c>
    </row>
    <row r="1110" spans="1:9" x14ac:dyDescent="0.2">
      <c r="A1110" s="2">
        <v>20</v>
      </c>
      <c r="B1110" s="1" t="s">
        <v>106</v>
      </c>
      <c r="C1110" s="4">
        <v>24</v>
      </c>
      <c r="D1110" s="8">
        <v>1.61</v>
      </c>
      <c r="E1110" s="4">
        <v>7</v>
      </c>
      <c r="F1110" s="8">
        <v>1.1299999999999999</v>
      </c>
      <c r="G1110" s="4">
        <v>17</v>
      </c>
      <c r="H1110" s="8">
        <v>1.98</v>
      </c>
      <c r="I1110" s="4">
        <v>0</v>
      </c>
    </row>
    <row r="1111" spans="1:9" x14ac:dyDescent="0.2">
      <c r="A1111" s="2">
        <v>20</v>
      </c>
      <c r="B1111" s="1" t="s">
        <v>122</v>
      </c>
      <c r="C1111" s="4">
        <v>24</v>
      </c>
      <c r="D1111" s="8">
        <v>1.61</v>
      </c>
      <c r="E1111" s="4">
        <v>11</v>
      </c>
      <c r="F1111" s="8">
        <v>1.78</v>
      </c>
      <c r="G1111" s="4">
        <v>13</v>
      </c>
      <c r="H1111" s="8">
        <v>1.51</v>
      </c>
      <c r="I1111" s="4">
        <v>0</v>
      </c>
    </row>
    <row r="1112" spans="1:9" x14ac:dyDescent="0.2">
      <c r="A1112" s="1"/>
      <c r="C1112" s="4"/>
      <c r="D1112" s="8"/>
      <c r="E1112" s="4"/>
      <c r="F1112" s="8"/>
      <c r="G1112" s="4"/>
      <c r="H1112" s="8"/>
      <c r="I1112" s="4"/>
    </row>
    <row r="1113" spans="1:9" x14ac:dyDescent="0.2">
      <c r="A1113" s="1" t="s">
        <v>50</v>
      </c>
      <c r="C1113" s="4"/>
      <c r="D1113" s="8"/>
      <c r="E1113" s="4"/>
      <c r="F1113" s="8"/>
      <c r="G1113" s="4"/>
      <c r="H1113" s="8"/>
      <c r="I1113" s="4"/>
    </row>
    <row r="1114" spans="1:9" x14ac:dyDescent="0.2">
      <c r="A1114" s="2">
        <v>1</v>
      </c>
      <c r="B1114" s="1" t="s">
        <v>107</v>
      </c>
      <c r="C1114" s="4">
        <v>140</v>
      </c>
      <c r="D1114" s="8">
        <v>7.98</v>
      </c>
      <c r="E1114" s="4">
        <v>74</v>
      </c>
      <c r="F1114" s="8">
        <v>9.19</v>
      </c>
      <c r="G1114" s="4">
        <v>66</v>
      </c>
      <c r="H1114" s="8">
        <v>7.01</v>
      </c>
      <c r="I1114" s="4">
        <v>0</v>
      </c>
    </row>
    <row r="1115" spans="1:9" x14ac:dyDescent="0.2">
      <c r="A1115" s="2">
        <v>2</v>
      </c>
      <c r="B1115" s="1" t="s">
        <v>110</v>
      </c>
      <c r="C1115" s="4">
        <v>134</v>
      </c>
      <c r="D1115" s="8">
        <v>7.64</v>
      </c>
      <c r="E1115" s="4">
        <v>123</v>
      </c>
      <c r="F1115" s="8">
        <v>15.28</v>
      </c>
      <c r="G1115" s="4">
        <v>11</v>
      </c>
      <c r="H1115" s="8">
        <v>1.17</v>
      </c>
      <c r="I1115" s="4">
        <v>0</v>
      </c>
    </row>
    <row r="1116" spans="1:9" x14ac:dyDescent="0.2">
      <c r="A1116" s="2">
        <v>3</v>
      </c>
      <c r="B1116" s="1" t="s">
        <v>111</v>
      </c>
      <c r="C1116" s="4">
        <v>132</v>
      </c>
      <c r="D1116" s="8">
        <v>7.52</v>
      </c>
      <c r="E1116" s="4">
        <v>108</v>
      </c>
      <c r="F1116" s="8">
        <v>13.42</v>
      </c>
      <c r="G1116" s="4">
        <v>24</v>
      </c>
      <c r="H1116" s="8">
        <v>2.5499999999999998</v>
      </c>
      <c r="I1116" s="4">
        <v>0</v>
      </c>
    </row>
    <row r="1117" spans="1:9" x14ac:dyDescent="0.2">
      <c r="A1117" s="2">
        <v>4</v>
      </c>
      <c r="B1117" s="1" t="s">
        <v>95</v>
      </c>
      <c r="C1117" s="4">
        <v>122</v>
      </c>
      <c r="D1117" s="8">
        <v>6.95</v>
      </c>
      <c r="E1117" s="4">
        <v>33</v>
      </c>
      <c r="F1117" s="8">
        <v>4.0999999999999996</v>
      </c>
      <c r="G1117" s="4">
        <v>89</v>
      </c>
      <c r="H1117" s="8">
        <v>9.4600000000000009</v>
      </c>
      <c r="I1117" s="4">
        <v>0</v>
      </c>
    </row>
    <row r="1118" spans="1:9" x14ac:dyDescent="0.2">
      <c r="A1118" s="2">
        <v>5</v>
      </c>
      <c r="B1118" s="1" t="s">
        <v>96</v>
      </c>
      <c r="C1118" s="4">
        <v>96</v>
      </c>
      <c r="D1118" s="8">
        <v>5.47</v>
      </c>
      <c r="E1118" s="4">
        <v>16</v>
      </c>
      <c r="F1118" s="8">
        <v>1.99</v>
      </c>
      <c r="G1118" s="4">
        <v>80</v>
      </c>
      <c r="H1118" s="8">
        <v>8.5</v>
      </c>
      <c r="I1118" s="4">
        <v>0</v>
      </c>
    </row>
    <row r="1119" spans="1:9" x14ac:dyDescent="0.2">
      <c r="A1119" s="2">
        <v>6</v>
      </c>
      <c r="B1119" s="1" t="s">
        <v>94</v>
      </c>
      <c r="C1119" s="4">
        <v>79</v>
      </c>
      <c r="D1119" s="8">
        <v>4.5</v>
      </c>
      <c r="E1119" s="4">
        <v>17</v>
      </c>
      <c r="F1119" s="8">
        <v>2.11</v>
      </c>
      <c r="G1119" s="4">
        <v>62</v>
      </c>
      <c r="H1119" s="8">
        <v>6.59</v>
      </c>
      <c r="I1119" s="4">
        <v>0</v>
      </c>
    </row>
    <row r="1120" spans="1:9" x14ac:dyDescent="0.2">
      <c r="A1120" s="2">
        <v>6</v>
      </c>
      <c r="B1120" s="1" t="s">
        <v>105</v>
      </c>
      <c r="C1120" s="4">
        <v>79</v>
      </c>
      <c r="D1120" s="8">
        <v>4.5</v>
      </c>
      <c r="E1120" s="4">
        <v>42</v>
      </c>
      <c r="F1120" s="8">
        <v>5.22</v>
      </c>
      <c r="G1120" s="4">
        <v>37</v>
      </c>
      <c r="H1120" s="8">
        <v>3.93</v>
      </c>
      <c r="I1120" s="4">
        <v>0</v>
      </c>
    </row>
    <row r="1121" spans="1:9" x14ac:dyDescent="0.2">
      <c r="A1121" s="2">
        <v>8</v>
      </c>
      <c r="B1121" s="1" t="s">
        <v>112</v>
      </c>
      <c r="C1121" s="4">
        <v>71</v>
      </c>
      <c r="D1121" s="8">
        <v>4.05</v>
      </c>
      <c r="E1121" s="4">
        <v>50</v>
      </c>
      <c r="F1121" s="8">
        <v>6.21</v>
      </c>
      <c r="G1121" s="4">
        <v>20</v>
      </c>
      <c r="H1121" s="8">
        <v>2.13</v>
      </c>
      <c r="I1121" s="4">
        <v>0</v>
      </c>
    </row>
    <row r="1122" spans="1:9" x14ac:dyDescent="0.2">
      <c r="A1122" s="2">
        <v>9</v>
      </c>
      <c r="B1122" s="1" t="s">
        <v>104</v>
      </c>
      <c r="C1122" s="4">
        <v>67</v>
      </c>
      <c r="D1122" s="8">
        <v>3.82</v>
      </c>
      <c r="E1122" s="4">
        <v>34</v>
      </c>
      <c r="F1122" s="8">
        <v>4.22</v>
      </c>
      <c r="G1122" s="4">
        <v>33</v>
      </c>
      <c r="H1122" s="8">
        <v>3.51</v>
      </c>
      <c r="I1122" s="4">
        <v>0</v>
      </c>
    </row>
    <row r="1123" spans="1:9" x14ac:dyDescent="0.2">
      <c r="A1123" s="2">
        <v>10</v>
      </c>
      <c r="B1123" s="1" t="s">
        <v>113</v>
      </c>
      <c r="C1123" s="4">
        <v>53</v>
      </c>
      <c r="D1123" s="8">
        <v>3.02</v>
      </c>
      <c r="E1123" s="4">
        <v>44</v>
      </c>
      <c r="F1123" s="8">
        <v>5.47</v>
      </c>
      <c r="G1123" s="4">
        <v>9</v>
      </c>
      <c r="H1123" s="8">
        <v>0.96</v>
      </c>
      <c r="I1123" s="4">
        <v>0</v>
      </c>
    </row>
    <row r="1124" spans="1:9" x14ac:dyDescent="0.2">
      <c r="A1124" s="2">
        <v>11</v>
      </c>
      <c r="B1124" s="1" t="s">
        <v>97</v>
      </c>
      <c r="C1124" s="4">
        <v>47</v>
      </c>
      <c r="D1124" s="8">
        <v>2.68</v>
      </c>
      <c r="E1124" s="4">
        <v>14</v>
      </c>
      <c r="F1124" s="8">
        <v>1.74</v>
      </c>
      <c r="G1124" s="4">
        <v>33</v>
      </c>
      <c r="H1124" s="8">
        <v>3.51</v>
      </c>
      <c r="I1124" s="4">
        <v>0</v>
      </c>
    </row>
    <row r="1125" spans="1:9" x14ac:dyDescent="0.2">
      <c r="A1125" s="2">
        <v>12</v>
      </c>
      <c r="B1125" s="1" t="s">
        <v>125</v>
      </c>
      <c r="C1125" s="4">
        <v>41</v>
      </c>
      <c r="D1125" s="8">
        <v>2.34</v>
      </c>
      <c r="E1125" s="4">
        <v>25</v>
      </c>
      <c r="F1125" s="8">
        <v>3.11</v>
      </c>
      <c r="G1125" s="4">
        <v>16</v>
      </c>
      <c r="H1125" s="8">
        <v>1.7</v>
      </c>
      <c r="I1125" s="4">
        <v>0</v>
      </c>
    </row>
    <row r="1126" spans="1:9" x14ac:dyDescent="0.2">
      <c r="A1126" s="2">
        <v>13</v>
      </c>
      <c r="B1126" s="1" t="s">
        <v>98</v>
      </c>
      <c r="C1126" s="4">
        <v>39</v>
      </c>
      <c r="D1126" s="8">
        <v>2.2200000000000002</v>
      </c>
      <c r="E1126" s="4">
        <v>11</v>
      </c>
      <c r="F1126" s="8">
        <v>1.37</v>
      </c>
      <c r="G1126" s="4">
        <v>28</v>
      </c>
      <c r="H1126" s="8">
        <v>2.98</v>
      </c>
      <c r="I1126" s="4">
        <v>0</v>
      </c>
    </row>
    <row r="1127" spans="1:9" x14ac:dyDescent="0.2">
      <c r="A1127" s="2">
        <v>14</v>
      </c>
      <c r="B1127" s="1" t="s">
        <v>109</v>
      </c>
      <c r="C1127" s="4">
        <v>38</v>
      </c>
      <c r="D1127" s="8">
        <v>2.17</v>
      </c>
      <c r="E1127" s="4">
        <v>15</v>
      </c>
      <c r="F1127" s="8">
        <v>1.86</v>
      </c>
      <c r="G1127" s="4">
        <v>23</v>
      </c>
      <c r="H1127" s="8">
        <v>2.44</v>
      </c>
      <c r="I1127" s="4">
        <v>0</v>
      </c>
    </row>
    <row r="1128" spans="1:9" x14ac:dyDescent="0.2">
      <c r="A1128" s="2">
        <v>15</v>
      </c>
      <c r="B1128" s="1" t="s">
        <v>99</v>
      </c>
      <c r="C1128" s="4">
        <v>34</v>
      </c>
      <c r="D1128" s="8">
        <v>1.94</v>
      </c>
      <c r="E1128" s="4">
        <v>8</v>
      </c>
      <c r="F1128" s="8">
        <v>0.99</v>
      </c>
      <c r="G1128" s="4">
        <v>26</v>
      </c>
      <c r="H1128" s="8">
        <v>2.76</v>
      </c>
      <c r="I1128" s="4">
        <v>0</v>
      </c>
    </row>
    <row r="1129" spans="1:9" x14ac:dyDescent="0.2">
      <c r="A1129" s="2">
        <v>15</v>
      </c>
      <c r="B1129" s="1" t="s">
        <v>103</v>
      </c>
      <c r="C1129" s="4">
        <v>34</v>
      </c>
      <c r="D1129" s="8">
        <v>1.94</v>
      </c>
      <c r="E1129" s="4">
        <v>24</v>
      </c>
      <c r="F1129" s="8">
        <v>2.98</v>
      </c>
      <c r="G1129" s="4">
        <v>10</v>
      </c>
      <c r="H1129" s="8">
        <v>1.06</v>
      </c>
      <c r="I1129" s="4">
        <v>0</v>
      </c>
    </row>
    <row r="1130" spans="1:9" x14ac:dyDescent="0.2">
      <c r="A1130" s="2">
        <v>17</v>
      </c>
      <c r="B1130" s="1" t="s">
        <v>131</v>
      </c>
      <c r="C1130" s="4">
        <v>33</v>
      </c>
      <c r="D1130" s="8">
        <v>1.88</v>
      </c>
      <c r="E1130" s="4">
        <v>7</v>
      </c>
      <c r="F1130" s="8">
        <v>0.87</v>
      </c>
      <c r="G1130" s="4">
        <v>26</v>
      </c>
      <c r="H1130" s="8">
        <v>2.76</v>
      </c>
      <c r="I1130" s="4">
        <v>0</v>
      </c>
    </row>
    <row r="1131" spans="1:9" x14ac:dyDescent="0.2">
      <c r="A1131" s="2">
        <v>17</v>
      </c>
      <c r="B1131" s="1" t="s">
        <v>122</v>
      </c>
      <c r="C1131" s="4">
        <v>33</v>
      </c>
      <c r="D1131" s="8">
        <v>1.88</v>
      </c>
      <c r="E1131" s="4">
        <v>24</v>
      </c>
      <c r="F1131" s="8">
        <v>2.98</v>
      </c>
      <c r="G1131" s="4">
        <v>9</v>
      </c>
      <c r="H1131" s="8">
        <v>0.96</v>
      </c>
      <c r="I1131" s="4">
        <v>0</v>
      </c>
    </row>
    <row r="1132" spans="1:9" x14ac:dyDescent="0.2">
      <c r="A1132" s="2">
        <v>19</v>
      </c>
      <c r="B1132" s="1" t="s">
        <v>100</v>
      </c>
      <c r="C1132" s="4">
        <v>30</v>
      </c>
      <c r="D1132" s="8">
        <v>1.71</v>
      </c>
      <c r="E1132" s="4">
        <v>6</v>
      </c>
      <c r="F1132" s="8">
        <v>0.75</v>
      </c>
      <c r="G1132" s="4">
        <v>24</v>
      </c>
      <c r="H1132" s="8">
        <v>2.5499999999999998</v>
      </c>
      <c r="I1132" s="4">
        <v>0</v>
      </c>
    </row>
    <row r="1133" spans="1:9" x14ac:dyDescent="0.2">
      <c r="A1133" s="2">
        <v>20</v>
      </c>
      <c r="B1133" s="1" t="s">
        <v>108</v>
      </c>
      <c r="C1133" s="4">
        <v>29</v>
      </c>
      <c r="D1133" s="8">
        <v>1.65</v>
      </c>
      <c r="E1133" s="4">
        <v>20</v>
      </c>
      <c r="F1133" s="8">
        <v>2.48</v>
      </c>
      <c r="G1133" s="4">
        <v>9</v>
      </c>
      <c r="H1133" s="8">
        <v>0.96</v>
      </c>
      <c r="I1133" s="4">
        <v>0</v>
      </c>
    </row>
    <row r="1134" spans="1:9" x14ac:dyDescent="0.2">
      <c r="A1134" s="1"/>
      <c r="C1134" s="4"/>
      <c r="D1134" s="8"/>
      <c r="E1134" s="4"/>
      <c r="F1134" s="8"/>
      <c r="G1134" s="4"/>
      <c r="H1134" s="8"/>
      <c r="I1134" s="4"/>
    </row>
    <row r="1135" spans="1:9" x14ac:dyDescent="0.2">
      <c r="A1135" s="1" t="s">
        <v>51</v>
      </c>
      <c r="C1135" s="4"/>
      <c r="D1135" s="8"/>
      <c r="E1135" s="4"/>
      <c r="F1135" s="8"/>
      <c r="G1135" s="4"/>
      <c r="H1135" s="8"/>
      <c r="I1135" s="4"/>
    </row>
    <row r="1136" spans="1:9" x14ac:dyDescent="0.2">
      <c r="A1136" s="2">
        <v>1</v>
      </c>
      <c r="B1136" s="1" t="s">
        <v>110</v>
      </c>
      <c r="C1136" s="4">
        <v>70</v>
      </c>
      <c r="D1136" s="8">
        <v>6.86</v>
      </c>
      <c r="E1136" s="4">
        <v>61</v>
      </c>
      <c r="F1136" s="8">
        <v>12.03</v>
      </c>
      <c r="G1136" s="4">
        <v>9</v>
      </c>
      <c r="H1136" s="8">
        <v>1.84</v>
      </c>
      <c r="I1136" s="4">
        <v>0</v>
      </c>
    </row>
    <row r="1137" spans="1:9" x14ac:dyDescent="0.2">
      <c r="A1137" s="2">
        <v>2</v>
      </c>
      <c r="B1137" s="1" t="s">
        <v>111</v>
      </c>
      <c r="C1137" s="4">
        <v>68</v>
      </c>
      <c r="D1137" s="8">
        <v>6.66</v>
      </c>
      <c r="E1137" s="4">
        <v>59</v>
      </c>
      <c r="F1137" s="8">
        <v>11.64</v>
      </c>
      <c r="G1137" s="4">
        <v>9</v>
      </c>
      <c r="H1137" s="8">
        <v>1.84</v>
      </c>
      <c r="I1137" s="4">
        <v>0</v>
      </c>
    </row>
    <row r="1138" spans="1:9" x14ac:dyDescent="0.2">
      <c r="A1138" s="2">
        <v>3</v>
      </c>
      <c r="B1138" s="1" t="s">
        <v>107</v>
      </c>
      <c r="C1138" s="4">
        <v>63</v>
      </c>
      <c r="D1138" s="8">
        <v>6.17</v>
      </c>
      <c r="E1138" s="4">
        <v>37</v>
      </c>
      <c r="F1138" s="8">
        <v>7.3</v>
      </c>
      <c r="G1138" s="4">
        <v>26</v>
      </c>
      <c r="H1138" s="8">
        <v>5.31</v>
      </c>
      <c r="I1138" s="4">
        <v>0</v>
      </c>
    </row>
    <row r="1139" spans="1:9" x14ac:dyDescent="0.2">
      <c r="A1139" s="2">
        <v>4</v>
      </c>
      <c r="B1139" s="1" t="s">
        <v>94</v>
      </c>
      <c r="C1139" s="4">
        <v>58</v>
      </c>
      <c r="D1139" s="8">
        <v>5.68</v>
      </c>
      <c r="E1139" s="4">
        <v>18</v>
      </c>
      <c r="F1139" s="8">
        <v>3.55</v>
      </c>
      <c r="G1139" s="4">
        <v>40</v>
      </c>
      <c r="H1139" s="8">
        <v>8.16</v>
      </c>
      <c r="I1139" s="4">
        <v>0</v>
      </c>
    </row>
    <row r="1140" spans="1:9" x14ac:dyDescent="0.2">
      <c r="A1140" s="2">
        <v>5</v>
      </c>
      <c r="B1140" s="1" t="s">
        <v>105</v>
      </c>
      <c r="C1140" s="4">
        <v>49</v>
      </c>
      <c r="D1140" s="8">
        <v>4.8</v>
      </c>
      <c r="E1140" s="4">
        <v>24</v>
      </c>
      <c r="F1140" s="8">
        <v>4.7300000000000004</v>
      </c>
      <c r="G1140" s="4">
        <v>25</v>
      </c>
      <c r="H1140" s="8">
        <v>5.0999999999999996</v>
      </c>
      <c r="I1140" s="4">
        <v>0</v>
      </c>
    </row>
    <row r="1141" spans="1:9" x14ac:dyDescent="0.2">
      <c r="A1141" s="2">
        <v>6</v>
      </c>
      <c r="B1141" s="1" t="s">
        <v>95</v>
      </c>
      <c r="C1141" s="4">
        <v>46</v>
      </c>
      <c r="D1141" s="8">
        <v>4.51</v>
      </c>
      <c r="E1141" s="4">
        <v>19</v>
      </c>
      <c r="F1141" s="8">
        <v>3.75</v>
      </c>
      <c r="G1141" s="4">
        <v>27</v>
      </c>
      <c r="H1141" s="8">
        <v>5.51</v>
      </c>
      <c r="I1141" s="4">
        <v>0</v>
      </c>
    </row>
    <row r="1142" spans="1:9" x14ac:dyDescent="0.2">
      <c r="A1142" s="2">
        <v>6</v>
      </c>
      <c r="B1142" s="1" t="s">
        <v>112</v>
      </c>
      <c r="C1142" s="4">
        <v>46</v>
      </c>
      <c r="D1142" s="8">
        <v>4.51</v>
      </c>
      <c r="E1142" s="4">
        <v>36</v>
      </c>
      <c r="F1142" s="8">
        <v>7.1</v>
      </c>
      <c r="G1142" s="4">
        <v>7</v>
      </c>
      <c r="H1142" s="8">
        <v>1.43</v>
      </c>
      <c r="I1142" s="4">
        <v>0</v>
      </c>
    </row>
    <row r="1143" spans="1:9" x14ac:dyDescent="0.2">
      <c r="A1143" s="2">
        <v>8</v>
      </c>
      <c r="B1143" s="1" t="s">
        <v>104</v>
      </c>
      <c r="C1143" s="4">
        <v>42</v>
      </c>
      <c r="D1143" s="8">
        <v>4.1100000000000003</v>
      </c>
      <c r="E1143" s="4">
        <v>28</v>
      </c>
      <c r="F1143" s="8">
        <v>5.52</v>
      </c>
      <c r="G1143" s="4">
        <v>14</v>
      </c>
      <c r="H1143" s="8">
        <v>2.86</v>
      </c>
      <c r="I1143" s="4">
        <v>0</v>
      </c>
    </row>
    <row r="1144" spans="1:9" x14ac:dyDescent="0.2">
      <c r="A1144" s="2">
        <v>8</v>
      </c>
      <c r="B1144" s="1" t="s">
        <v>138</v>
      </c>
      <c r="C1144" s="4">
        <v>42</v>
      </c>
      <c r="D1144" s="8">
        <v>4.1100000000000003</v>
      </c>
      <c r="E1144" s="4">
        <v>39</v>
      </c>
      <c r="F1144" s="8">
        <v>7.69</v>
      </c>
      <c r="G1144" s="4">
        <v>3</v>
      </c>
      <c r="H1144" s="8">
        <v>0.61</v>
      </c>
      <c r="I1144" s="4">
        <v>0</v>
      </c>
    </row>
    <row r="1145" spans="1:9" x14ac:dyDescent="0.2">
      <c r="A1145" s="2">
        <v>10</v>
      </c>
      <c r="B1145" s="1" t="s">
        <v>97</v>
      </c>
      <c r="C1145" s="4">
        <v>37</v>
      </c>
      <c r="D1145" s="8">
        <v>3.62</v>
      </c>
      <c r="E1145" s="4">
        <v>7</v>
      </c>
      <c r="F1145" s="8">
        <v>1.38</v>
      </c>
      <c r="G1145" s="4">
        <v>30</v>
      </c>
      <c r="H1145" s="8">
        <v>6.12</v>
      </c>
      <c r="I1145" s="4">
        <v>0</v>
      </c>
    </row>
    <row r="1146" spans="1:9" x14ac:dyDescent="0.2">
      <c r="A1146" s="2">
        <v>11</v>
      </c>
      <c r="B1146" s="1" t="s">
        <v>96</v>
      </c>
      <c r="C1146" s="4">
        <v>31</v>
      </c>
      <c r="D1146" s="8">
        <v>3.04</v>
      </c>
      <c r="E1146" s="4">
        <v>10</v>
      </c>
      <c r="F1146" s="8">
        <v>1.97</v>
      </c>
      <c r="G1146" s="4">
        <v>21</v>
      </c>
      <c r="H1146" s="8">
        <v>4.29</v>
      </c>
      <c r="I1146" s="4">
        <v>0</v>
      </c>
    </row>
    <row r="1147" spans="1:9" x14ac:dyDescent="0.2">
      <c r="A1147" s="2">
        <v>12</v>
      </c>
      <c r="B1147" s="1" t="s">
        <v>113</v>
      </c>
      <c r="C1147" s="4">
        <v>28</v>
      </c>
      <c r="D1147" s="8">
        <v>2.74</v>
      </c>
      <c r="E1147" s="4">
        <v>24</v>
      </c>
      <c r="F1147" s="8">
        <v>4.7300000000000004</v>
      </c>
      <c r="G1147" s="4">
        <v>4</v>
      </c>
      <c r="H1147" s="8">
        <v>0.82</v>
      </c>
      <c r="I1147" s="4">
        <v>0</v>
      </c>
    </row>
    <row r="1148" spans="1:9" x14ac:dyDescent="0.2">
      <c r="A1148" s="2">
        <v>13</v>
      </c>
      <c r="B1148" s="1" t="s">
        <v>99</v>
      </c>
      <c r="C1148" s="4">
        <v>27</v>
      </c>
      <c r="D1148" s="8">
        <v>2.64</v>
      </c>
      <c r="E1148" s="4">
        <v>5</v>
      </c>
      <c r="F1148" s="8">
        <v>0.99</v>
      </c>
      <c r="G1148" s="4">
        <v>22</v>
      </c>
      <c r="H1148" s="8">
        <v>4.49</v>
      </c>
      <c r="I1148" s="4">
        <v>0</v>
      </c>
    </row>
    <row r="1149" spans="1:9" x14ac:dyDescent="0.2">
      <c r="A1149" s="2">
        <v>14</v>
      </c>
      <c r="B1149" s="1" t="s">
        <v>103</v>
      </c>
      <c r="C1149" s="4">
        <v>25</v>
      </c>
      <c r="D1149" s="8">
        <v>2.4500000000000002</v>
      </c>
      <c r="E1149" s="4">
        <v>19</v>
      </c>
      <c r="F1149" s="8">
        <v>3.75</v>
      </c>
      <c r="G1149" s="4">
        <v>6</v>
      </c>
      <c r="H1149" s="8">
        <v>1.22</v>
      </c>
      <c r="I1149" s="4">
        <v>0</v>
      </c>
    </row>
    <row r="1150" spans="1:9" x14ac:dyDescent="0.2">
      <c r="A1150" s="2">
        <v>15</v>
      </c>
      <c r="B1150" s="1" t="s">
        <v>98</v>
      </c>
      <c r="C1150" s="4">
        <v>24</v>
      </c>
      <c r="D1150" s="8">
        <v>2.35</v>
      </c>
      <c r="E1150" s="4">
        <v>8</v>
      </c>
      <c r="F1150" s="8">
        <v>1.58</v>
      </c>
      <c r="G1150" s="4">
        <v>16</v>
      </c>
      <c r="H1150" s="8">
        <v>3.27</v>
      </c>
      <c r="I1150" s="4">
        <v>0</v>
      </c>
    </row>
    <row r="1151" spans="1:9" x14ac:dyDescent="0.2">
      <c r="A1151" s="2">
        <v>16</v>
      </c>
      <c r="B1151" s="1" t="s">
        <v>115</v>
      </c>
      <c r="C1151" s="4">
        <v>21</v>
      </c>
      <c r="D1151" s="8">
        <v>2.06</v>
      </c>
      <c r="E1151" s="4">
        <v>11</v>
      </c>
      <c r="F1151" s="8">
        <v>2.17</v>
      </c>
      <c r="G1151" s="4">
        <v>10</v>
      </c>
      <c r="H1151" s="8">
        <v>2.04</v>
      </c>
      <c r="I1151" s="4">
        <v>0</v>
      </c>
    </row>
    <row r="1152" spans="1:9" x14ac:dyDescent="0.2">
      <c r="A1152" s="2">
        <v>17</v>
      </c>
      <c r="B1152" s="1" t="s">
        <v>137</v>
      </c>
      <c r="C1152" s="4">
        <v>19</v>
      </c>
      <c r="D1152" s="8">
        <v>1.86</v>
      </c>
      <c r="E1152" s="4">
        <v>12</v>
      </c>
      <c r="F1152" s="8">
        <v>2.37</v>
      </c>
      <c r="G1152" s="4">
        <v>7</v>
      </c>
      <c r="H1152" s="8">
        <v>1.43</v>
      </c>
      <c r="I1152" s="4">
        <v>0</v>
      </c>
    </row>
    <row r="1153" spans="1:9" x14ac:dyDescent="0.2">
      <c r="A1153" s="2">
        <v>17</v>
      </c>
      <c r="B1153" s="1" t="s">
        <v>116</v>
      </c>
      <c r="C1153" s="4">
        <v>19</v>
      </c>
      <c r="D1153" s="8">
        <v>1.86</v>
      </c>
      <c r="E1153" s="4">
        <v>0</v>
      </c>
      <c r="F1153" s="8">
        <v>0</v>
      </c>
      <c r="G1153" s="4">
        <v>6</v>
      </c>
      <c r="H1153" s="8">
        <v>1.22</v>
      </c>
      <c r="I1153" s="4">
        <v>0</v>
      </c>
    </row>
    <row r="1154" spans="1:9" x14ac:dyDescent="0.2">
      <c r="A1154" s="2">
        <v>19</v>
      </c>
      <c r="B1154" s="1" t="s">
        <v>109</v>
      </c>
      <c r="C1154" s="4">
        <v>17</v>
      </c>
      <c r="D1154" s="8">
        <v>1.67</v>
      </c>
      <c r="E1154" s="4">
        <v>11</v>
      </c>
      <c r="F1154" s="8">
        <v>2.17</v>
      </c>
      <c r="G1154" s="4">
        <v>5</v>
      </c>
      <c r="H1154" s="8">
        <v>1.02</v>
      </c>
      <c r="I1154" s="4">
        <v>0</v>
      </c>
    </row>
    <row r="1155" spans="1:9" x14ac:dyDescent="0.2">
      <c r="A1155" s="2">
        <v>20</v>
      </c>
      <c r="B1155" s="1" t="s">
        <v>100</v>
      </c>
      <c r="C1155" s="4">
        <v>16</v>
      </c>
      <c r="D1155" s="8">
        <v>1.57</v>
      </c>
      <c r="E1155" s="4">
        <v>1</v>
      </c>
      <c r="F1155" s="8">
        <v>0.2</v>
      </c>
      <c r="G1155" s="4">
        <v>15</v>
      </c>
      <c r="H1155" s="8">
        <v>3.06</v>
      </c>
      <c r="I1155" s="4">
        <v>0</v>
      </c>
    </row>
    <row r="1156" spans="1:9" x14ac:dyDescent="0.2">
      <c r="A1156" s="2">
        <v>20</v>
      </c>
      <c r="B1156" s="1" t="s">
        <v>135</v>
      </c>
      <c r="C1156" s="4">
        <v>16</v>
      </c>
      <c r="D1156" s="8">
        <v>1.57</v>
      </c>
      <c r="E1156" s="4">
        <v>0</v>
      </c>
      <c r="F1156" s="8">
        <v>0</v>
      </c>
      <c r="G1156" s="4">
        <v>16</v>
      </c>
      <c r="H1156" s="8">
        <v>3.27</v>
      </c>
      <c r="I1156" s="4">
        <v>0</v>
      </c>
    </row>
    <row r="1157" spans="1:9" x14ac:dyDescent="0.2">
      <c r="A1157" s="1"/>
      <c r="C1157" s="4"/>
      <c r="D1157" s="8"/>
      <c r="E1157" s="4"/>
      <c r="F1157" s="8"/>
      <c r="G1157" s="4"/>
      <c r="H1157" s="8"/>
      <c r="I1157" s="4"/>
    </row>
    <row r="1158" spans="1:9" x14ac:dyDescent="0.2">
      <c r="A1158" s="1" t="s">
        <v>52</v>
      </c>
      <c r="C1158" s="4"/>
      <c r="D1158" s="8"/>
      <c r="E1158" s="4"/>
      <c r="F1158" s="8"/>
      <c r="G1158" s="4"/>
      <c r="H1158" s="8"/>
      <c r="I1158" s="4"/>
    </row>
    <row r="1159" spans="1:9" x14ac:dyDescent="0.2">
      <c r="A1159" s="2">
        <v>1</v>
      </c>
      <c r="B1159" s="1" t="s">
        <v>107</v>
      </c>
      <c r="C1159" s="4">
        <v>116</v>
      </c>
      <c r="D1159" s="8">
        <v>12.5</v>
      </c>
      <c r="E1159" s="4">
        <v>69</v>
      </c>
      <c r="F1159" s="8">
        <v>16.75</v>
      </c>
      <c r="G1159" s="4">
        <v>47</v>
      </c>
      <c r="H1159" s="8">
        <v>9.73</v>
      </c>
      <c r="I1159" s="4">
        <v>0</v>
      </c>
    </row>
    <row r="1160" spans="1:9" x14ac:dyDescent="0.2">
      <c r="A1160" s="2">
        <v>2</v>
      </c>
      <c r="B1160" s="1" t="s">
        <v>111</v>
      </c>
      <c r="C1160" s="4">
        <v>80</v>
      </c>
      <c r="D1160" s="8">
        <v>8.6199999999999992</v>
      </c>
      <c r="E1160" s="4">
        <v>64</v>
      </c>
      <c r="F1160" s="8">
        <v>15.53</v>
      </c>
      <c r="G1160" s="4">
        <v>16</v>
      </c>
      <c r="H1160" s="8">
        <v>3.31</v>
      </c>
      <c r="I1160" s="4">
        <v>0</v>
      </c>
    </row>
    <row r="1161" spans="1:9" x14ac:dyDescent="0.2">
      <c r="A1161" s="2">
        <v>3</v>
      </c>
      <c r="B1161" s="1" t="s">
        <v>94</v>
      </c>
      <c r="C1161" s="4">
        <v>68</v>
      </c>
      <c r="D1161" s="8">
        <v>7.33</v>
      </c>
      <c r="E1161" s="4">
        <v>11</v>
      </c>
      <c r="F1161" s="8">
        <v>2.67</v>
      </c>
      <c r="G1161" s="4">
        <v>56</v>
      </c>
      <c r="H1161" s="8">
        <v>11.59</v>
      </c>
      <c r="I1161" s="4">
        <v>1</v>
      </c>
    </row>
    <row r="1162" spans="1:9" x14ac:dyDescent="0.2">
      <c r="A1162" s="2">
        <v>4</v>
      </c>
      <c r="B1162" s="1" t="s">
        <v>110</v>
      </c>
      <c r="C1162" s="4">
        <v>66</v>
      </c>
      <c r="D1162" s="8">
        <v>7.11</v>
      </c>
      <c r="E1162" s="4">
        <v>56</v>
      </c>
      <c r="F1162" s="8">
        <v>13.59</v>
      </c>
      <c r="G1162" s="4">
        <v>10</v>
      </c>
      <c r="H1162" s="8">
        <v>2.0699999999999998</v>
      </c>
      <c r="I1162" s="4">
        <v>0</v>
      </c>
    </row>
    <row r="1163" spans="1:9" x14ac:dyDescent="0.2">
      <c r="A1163" s="2">
        <v>5</v>
      </c>
      <c r="B1163" s="1" t="s">
        <v>105</v>
      </c>
      <c r="C1163" s="4">
        <v>43</v>
      </c>
      <c r="D1163" s="8">
        <v>4.63</v>
      </c>
      <c r="E1163" s="4">
        <v>16</v>
      </c>
      <c r="F1163" s="8">
        <v>3.88</v>
      </c>
      <c r="G1163" s="4">
        <v>27</v>
      </c>
      <c r="H1163" s="8">
        <v>5.59</v>
      </c>
      <c r="I1163" s="4">
        <v>0</v>
      </c>
    </row>
    <row r="1164" spans="1:9" x14ac:dyDescent="0.2">
      <c r="A1164" s="2">
        <v>6</v>
      </c>
      <c r="B1164" s="1" t="s">
        <v>112</v>
      </c>
      <c r="C1164" s="4">
        <v>42</v>
      </c>
      <c r="D1164" s="8">
        <v>4.53</v>
      </c>
      <c r="E1164" s="4">
        <v>30</v>
      </c>
      <c r="F1164" s="8">
        <v>7.28</v>
      </c>
      <c r="G1164" s="4">
        <v>11</v>
      </c>
      <c r="H1164" s="8">
        <v>2.2799999999999998</v>
      </c>
      <c r="I1164" s="4">
        <v>0</v>
      </c>
    </row>
    <row r="1165" spans="1:9" x14ac:dyDescent="0.2">
      <c r="A1165" s="2">
        <v>7</v>
      </c>
      <c r="B1165" s="1" t="s">
        <v>95</v>
      </c>
      <c r="C1165" s="4">
        <v>41</v>
      </c>
      <c r="D1165" s="8">
        <v>4.42</v>
      </c>
      <c r="E1165" s="4">
        <v>11</v>
      </c>
      <c r="F1165" s="8">
        <v>2.67</v>
      </c>
      <c r="G1165" s="4">
        <v>30</v>
      </c>
      <c r="H1165" s="8">
        <v>6.21</v>
      </c>
      <c r="I1165" s="4">
        <v>0</v>
      </c>
    </row>
    <row r="1166" spans="1:9" x14ac:dyDescent="0.2">
      <c r="A1166" s="2">
        <v>8</v>
      </c>
      <c r="B1166" s="1" t="s">
        <v>113</v>
      </c>
      <c r="C1166" s="4">
        <v>36</v>
      </c>
      <c r="D1166" s="8">
        <v>3.88</v>
      </c>
      <c r="E1166" s="4">
        <v>33</v>
      </c>
      <c r="F1166" s="8">
        <v>8.01</v>
      </c>
      <c r="G1166" s="4">
        <v>3</v>
      </c>
      <c r="H1166" s="8">
        <v>0.62</v>
      </c>
      <c r="I1166" s="4">
        <v>0</v>
      </c>
    </row>
    <row r="1167" spans="1:9" x14ac:dyDescent="0.2">
      <c r="A1167" s="2">
        <v>9</v>
      </c>
      <c r="B1167" s="1" t="s">
        <v>116</v>
      </c>
      <c r="C1167" s="4">
        <v>34</v>
      </c>
      <c r="D1167" s="8">
        <v>3.66</v>
      </c>
      <c r="E1167" s="4">
        <v>1</v>
      </c>
      <c r="F1167" s="8">
        <v>0.24</v>
      </c>
      <c r="G1167" s="4">
        <v>6</v>
      </c>
      <c r="H1167" s="8">
        <v>1.24</v>
      </c>
      <c r="I1167" s="4">
        <v>11</v>
      </c>
    </row>
    <row r="1168" spans="1:9" x14ac:dyDescent="0.2">
      <c r="A1168" s="2">
        <v>10</v>
      </c>
      <c r="B1168" s="1" t="s">
        <v>96</v>
      </c>
      <c r="C1168" s="4">
        <v>33</v>
      </c>
      <c r="D1168" s="8">
        <v>3.56</v>
      </c>
      <c r="E1168" s="4">
        <v>6</v>
      </c>
      <c r="F1168" s="8">
        <v>1.46</v>
      </c>
      <c r="G1168" s="4">
        <v>27</v>
      </c>
      <c r="H1168" s="8">
        <v>5.59</v>
      </c>
      <c r="I1168" s="4">
        <v>0</v>
      </c>
    </row>
    <row r="1169" spans="1:9" x14ac:dyDescent="0.2">
      <c r="A1169" s="2">
        <v>11</v>
      </c>
      <c r="B1169" s="1" t="s">
        <v>97</v>
      </c>
      <c r="C1169" s="4">
        <v>31</v>
      </c>
      <c r="D1169" s="8">
        <v>3.34</v>
      </c>
      <c r="E1169" s="4">
        <v>12</v>
      </c>
      <c r="F1169" s="8">
        <v>2.91</v>
      </c>
      <c r="G1169" s="4">
        <v>19</v>
      </c>
      <c r="H1169" s="8">
        <v>3.93</v>
      </c>
      <c r="I1169" s="4">
        <v>0</v>
      </c>
    </row>
    <row r="1170" spans="1:9" x14ac:dyDescent="0.2">
      <c r="A1170" s="2">
        <v>12</v>
      </c>
      <c r="B1170" s="1" t="s">
        <v>98</v>
      </c>
      <c r="C1170" s="4">
        <v>29</v>
      </c>
      <c r="D1170" s="8">
        <v>3.13</v>
      </c>
      <c r="E1170" s="4">
        <v>7</v>
      </c>
      <c r="F1170" s="8">
        <v>1.7</v>
      </c>
      <c r="G1170" s="4">
        <v>22</v>
      </c>
      <c r="H1170" s="8">
        <v>4.55</v>
      </c>
      <c r="I1170" s="4">
        <v>0</v>
      </c>
    </row>
    <row r="1171" spans="1:9" x14ac:dyDescent="0.2">
      <c r="A1171" s="2">
        <v>13</v>
      </c>
      <c r="B1171" s="1" t="s">
        <v>104</v>
      </c>
      <c r="C1171" s="4">
        <v>27</v>
      </c>
      <c r="D1171" s="8">
        <v>2.91</v>
      </c>
      <c r="E1171" s="4">
        <v>13</v>
      </c>
      <c r="F1171" s="8">
        <v>3.16</v>
      </c>
      <c r="G1171" s="4">
        <v>14</v>
      </c>
      <c r="H1171" s="8">
        <v>2.9</v>
      </c>
      <c r="I1171" s="4">
        <v>0</v>
      </c>
    </row>
    <row r="1172" spans="1:9" x14ac:dyDescent="0.2">
      <c r="A1172" s="2">
        <v>14</v>
      </c>
      <c r="B1172" s="1" t="s">
        <v>108</v>
      </c>
      <c r="C1172" s="4">
        <v>23</v>
      </c>
      <c r="D1172" s="8">
        <v>2.48</v>
      </c>
      <c r="E1172" s="4">
        <v>14</v>
      </c>
      <c r="F1172" s="8">
        <v>3.4</v>
      </c>
      <c r="G1172" s="4">
        <v>9</v>
      </c>
      <c r="H1172" s="8">
        <v>1.86</v>
      </c>
      <c r="I1172" s="4">
        <v>0</v>
      </c>
    </row>
    <row r="1173" spans="1:9" x14ac:dyDescent="0.2">
      <c r="A1173" s="2">
        <v>15</v>
      </c>
      <c r="B1173" s="1" t="s">
        <v>103</v>
      </c>
      <c r="C1173" s="4">
        <v>15</v>
      </c>
      <c r="D1173" s="8">
        <v>1.62</v>
      </c>
      <c r="E1173" s="4">
        <v>11</v>
      </c>
      <c r="F1173" s="8">
        <v>2.67</v>
      </c>
      <c r="G1173" s="4">
        <v>4</v>
      </c>
      <c r="H1173" s="8">
        <v>0.83</v>
      </c>
      <c r="I1173" s="4">
        <v>0</v>
      </c>
    </row>
    <row r="1174" spans="1:9" x14ac:dyDescent="0.2">
      <c r="A1174" s="2">
        <v>16</v>
      </c>
      <c r="B1174" s="1" t="s">
        <v>102</v>
      </c>
      <c r="C1174" s="4">
        <v>14</v>
      </c>
      <c r="D1174" s="8">
        <v>1.51</v>
      </c>
      <c r="E1174" s="4">
        <v>3</v>
      </c>
      <c r="F1174" s="8">
        <v>0.73</v>
      </c>
      <c r="G1174" s="4">
        <v>11</v>
      </c>
      <c r="H1174" s="8">
        <v>2.2799999999999998</v>
      </c>
      <c r="I1174" s="4">
        <v>0</v>
      </c>
    </row>
    <row r="1175" spans="1:9" x14ac:dyDescent="0.2">
      <c r="A1175" s="2">
        <v>17</v>
      </c>
      <c r="B1175" s="1" t="s">
        <v>122</v>
      </c>
      <c r="C1175" s="4">
        <v>13</v>
      </c>
      <c r="D1175" s="8">
        <v>1.4</v>
      </c>
      <c r="E1175" s="4">
        <v>7</v>
      </c>
      <c r="F1175" s="8">
        <v>1.7</v>
      </c>
      <c r="G1175" s="4">
        <v>6</v>
      </c>
      <c r="H1175" s="8">
        <v>1.24</v>
      </c>
      <c r="I1175" s="4">
        <v>0</v>
      </c>
    </row>
    <row r="1176" spans="1:9" x14ac:dyDescent="0.2">
      <c r="A1176" s="2">
        <v>18</v>
      </c>
      <c r="B1176" s="1" t="s">
        <v>115</v>
      </c>
      <c r="C1176" s="4">
        <v>12</v>
      </c>
      <c r="D1176" s="8">
        <v>1.29</v>
      </c>
      <c r="E1176" s="4">
        <v>5</v>
      </c>
      <c r="F1176" s="8">
        <v>1.21</v>
      </c>
      <c r="G1176" s="4">
        <v>7</v>
      </c>
      <c r="H1176" s="8">
        <v>1.45</v>
      </c>
      <c r="I1176" s="4">
        <v>0</v>
      </c>
    </row>
    <row r="1177" spans="1:9" x14ac:dyDescent="0.2">
      <c r="A1177" s="2">
        <v>19</v>
      </c>
      <c r="B1177" s="1" t="s">
        <v>137</v>
      </c>
      <c r="C1177" s="4">
        <v>11</v>
      </c>
      <c r="D1177" s="8">
        <v>1.19</v>
      </c>
      <c r="E1177" s="4">
        <v>7</v>
      </c>
      <c r="F1177" s="8">
        <v>1.7</v>
      </c>
      <c r="G1177" s="4">
        <v>4</v>
      </c>
      <c r="H1177" s="8">
        <v>0.83</v>
      </c>
      <c r="I1177" s="4">
        <v>0</v>
      </c>
    </row>
    <row r="1178" spans="1:9" x14ac:dyDescent="0.2">
      <c r="A1178" s="2">
        <v>19</v>
      </c>
      <c r="B1178" s="1" t="s">
        <v>99</v>
      </c>
      <c r="C1178" s="4">
        <v>11</v>
      </c>
      <c r="D1178" s="8">
        <v>1.19</v>
      </c>
      <c r="E1178" s="4">
        <v>2</v>
      </c>
      <c r="F1178" s="8">
        <v>0.49</v>
      </c>
      <c r="G1178" s="4">
        <v>9</v>
      </c>
      <c r="H1178" s="8">
        <v>1.86</v>
      </c>
      <c r="I1178" s="4">
        <v>0</v>
      </c>
    </row>
    <row r="1179" spans="1:9" x14ac:dyDescent="0.2">
      <c r="A1179" s="2">
        <v>19</v>
      </c>
      <c r="B1179" s="1" t="s">
        <v>135</v>
      </c>
      <c r="C1179" s="4">
        <v>11</v>
      </c>
      <c r="D1179" s="8">
        <v>1.19</v>
      </c>
      <c r="E1179" s="4">
        <v>1</v>
      </c>
      <c r="F1179" s="8">
        <v>0.24</v>
      </c>
      <c r="G1179" s="4">
        <v>10</v>
      </c>
      <c r="H1179" s="8">
        <v>2.0699999999999998</v>
      </c>
      <c r="I1179" s="4">
        <v>0</v>
      </c>
    </row>
    <row r="1180" spans="1:9" x14ac:dyDescent="0.2">
      <c r="A1180" s="1"/>
      <c r="C1180" s="4"/>
      <c r="D1180" s="8"/>
      <c r="E1180" s="4"/>
      <c r="F1180" s="8"/>
      <c r="G1180" s="4"/>
      <c r="H1180" s="8"/>
      <c r="I1180" s="4"/>
    </row>
    <row r="1181" spans="1:9" x14ac:dyDescent="0.2">
      <c r="A1181" s="1" t="s">
        <v>53</v>
      </c>
      <c r="C1181" s="4"/>
      <c r="D1181" s="8"/>
      <c r="E1181" s="4"/>
      <c r="F1181" s="8"/>
      <c r="G1181" s="4"/>
      <c r="H1181" s="8"/>
      <c r="I1181" s="4"/>
    </row>
    <row r="1182" spans="1:9" x14ac:dyDescent="0.2">
      <c r="A1182" s="2">
        <v>1</v>
      </c>
      <c r="B1182" s="1" t="s">
        <v>111</v>
      </c>
      <c r="C1182" s="4">
        <v>120</v>
      </c>
      <c r="D1182" s="8">
        <v>7.96</v>
      </c>
      <c r="E1182" s="4">
        <v>107</v>
      </c>
      <c r="F1182" s="8">
        <v>16.489999999999998</v>
      </c>
      <c r="G1182" s="4">
        <v>13</v>
      </c>
      <c r="H1182" s="8">
        <v>1.54</v>
      </c>
      <c r="I1182" s="4">
        <v>0</v>
      </c>
    </row>
    <row r="1183" spans="1:9" x14ac:dyDescent="0.2">
      <c r="A1183" s="2">
        <v>2</v>
      </c>
      <c r="B1183" s="1" t="s">
        <v>95</v>
      </c>
      <c r="C1183" s="4">
        <v>114</v>
      </c>
      <c r="D1183" s="8">
        <v>7.56</v>
      </c>
      <c r="E1183" s="4">
        <v>19</v>
      </c>
      <c r="F1183" s="8">
        <v>2.93</v>
      </c>
      <c r="G1183" s="4">
        <v>95</v>
      </c>
      <c r="H1183" s="8">
        <v>11.24</v>
      </c>
      <c r="I1183" s="4">
        <v>0</v>
      </c>
    </row>
    <row r="1184" spans="1:9" x14ac:dyDescent="0.2">
      <c r="A1184" s="2">
        <v>3</v>
      </c>
      <c r="B1184" s="1" t="s">
        <v>107</v>
      </c>
      <c r="C1184" s="4">
        <v>104</v>
      </c>
      <c r="D1184" s="8">
        <v>6.9</v>
      </c>
      <c r="E1184" s="4">
        <v>58</v>
      </c>
      <c r="F1184" s="8">
        <v>8.94</v>
      </c>
      <c r="G1184" s="4">
        <v>46</v>
      </c>
      <c r="H1184" s="8">
        <v>5.44</v>
      </c>
      <c r="I1184" s="4">
        <v>0</v>
      </c>
    </row>
    <row r="1185" spans="1:9" x14ac:dyDescent="0.2">
      <c r="A1185" s="2">
        <v>4</v>
      </c>
      <c r="B1185" s="1" t="s">
        <v>110</v>
      </c>
      <c r="C1185" s="4">
        <v>96</v>
      </c>
      <c r="D1185" s="8">
        <v>6.37</v>
      </c>
      <c r="E1185" s="4">
        <v>82</v>
      </c>
      <c r="F1185" s="8">
        <v>12.63</v>
      </c>
      <c r="G1185" s="4">
        <v>14</v>
      </c>
      <c r="H1185" s="8">
        <v>1.66</v>
      </c>
      <c r="I1185" s="4">
        <v>0</v>
      </c>
    </row>
    <row r="1186" spans="1:9" x14ac:dyDescent="0.2">
      <c r="A1186" s="2">
        <v>5</v>
      </c>
      <c r="B1186" s="1" t="s">
        <v>96</v>
      </c>
      <c r="C1186" s="4">
        <v>90</v>
      </c>
      <c r="D1186" s="8">
        <v>5.97</v>
      </c>
      <c r="E1186" s="4">
        <v>11</v>
      </c>
      <c r="F1186" s="8">
        <v>1.69</v>
      </c>
      <c r="G1186" s="4">
        <v>79</v>
      </c>
      <c r="H1186" s="8">
        <v>9.35</v>
      </c>
      <c r="I1186" s="4">
        <v>0</v>
      </c>
    </row>
    <row r="1187" spans="1:9" x14ac:dyDescent="0.2">
      <c r="A1187" s="2">
        <v>6</v>
      </c>
      <c r="B1187" s="1" t="s">
        <v>94</v>
      </c>
      <c r="C1187" s="4">
        <v>86</v>
      </c>
      <c r="D1187" s="8">
        <v>5.7</v>
      </c>
      <c r="E1187" s="4">
        <v>12</v>
      </c>
      <c r="F1187" s="8">
        <v>1.85</v>
      </c>
      <c r="G1187" s="4">
        <v>74</v>
      </c>
      <c r="H1187" s="8">
        <v>8.76</v>
      </c>
      <c r="I1187" s="4">
        <v>0</v>
      </c>
    </row>
    <row r="1188" spans="1:9" x14ac:dyDescent="0.2">
      <c r="A1188" s="2">
        <v>7</v>
      </c>
      <c r="B1188" s="1" t="s">
        <v>97</v>
      </c>
      <c r="C1188" s="4">
        <v>61</v>
      </c>
      <c r="D1188" s="8">
        <v>4.05</v>
      </c>
      <c r="E1188" s="4">
        <v>17</v>
      </c>
      <c r="F1188" s="8">
        <v>2.62</v>
      </c>
      <c r="G1188" s="4">
        <v>44</v>
      </c>
      <c r="H1188" s="8">
        <v>5.21</v>
      </c>
      <c r="I1188" s="4">
        <v>0</v>
      </c>
    </row>
    <row r="1189" spans="1:9" x14ac:dyDescent="0.2">
      <c r="A1189" s="2">
        <v>8</v>
      </c>
      <c r="B1189" s="1" t="s">
        <v>105</v>
      </c>
      <c r="C1189" s="4">
        <v>60</v>
      </c>
      <c r="D1189" s="8">
        <v>3.98</v>
      </c>
      <c r="E1189" s="4">
        <v>33</v>
      </c>
      <c r="F1189" s="8">
        <v>5.08</v>
      </c>
      <c r="G1189" s="4">
        <v>27</v>
      </c>
      <c r="H1189" s="8">
        <v>3.2</v>
      </c>
      <c r="I1189" s="4">
        <v>0</v>
      </c>
    </row>
    <row r="1190" spans="1:9" x14ac:dyDescent="0.2">
      <c r="A1190" s="2">
        <v>9</v>
      </c>
      <c r="B1190" s="1" t="s">
        <v>104</v>
      </c>
      <c r="C1190" s="4">
        <v>51</v>
      </c>
      <c r="D1190" s="8">
        <v>3.38</v>
      </c>
      <c r="E1190" s="4">
        <v>26</v>
      </c>
      <c r="F1190" s="8">
        <v>4.01</v>
      </c>
      <c r="G1190" s="4">
        <v>25</v>
      </c>
      <c r="H1190" s="8">
        <v>2.96</v>
      </c>
      <c r="I1190" s="4">
        <v>0</v>
      </c>
    </row>
    <row r="1191" spans="1:9" x14ac:dyDescent="0.2">
      <c r="A1191" s="2">
        <v>10</v>
      </c>
      <c r="B1191" s="1" t="s">
        <v>112</v>
      </c>
      <c r="C1191" s="4">
        <v>50</v>
      </c>
      <c r="D1191" s="8">
        <v>3.32</v>
      </c>
      <c r="E1191" s="4">
        <v>34</v>
      </c>
      <c r="F1191" s="8">
        <v>5.24</v>
      </c>
      <c r="G1191" s="4">
        <v>14</v>
      </c>
      <c r="H1191" s="8">
        <v>1.66</v>
      </c>
      <c r="I1191" s="4">
        <v>0</v>
      </c>
    </row>
    <row r="1192" spans="1:9" x14ac:dyDescent="0.2">
      <c r="A1192" s="2">
        <v>11</v>
      </c>
      <c r="B1192" s="1" t="s">
        <v>113</v>
      </c>
      <c r="C1192" s="4">
        <v>44</v>
      </c>
      <c r="D1192" s="8">
        <v>2.92</v>
      </c>
      <c r="E1192" s="4">
        <v>38</v>
      </c>
      <c r="F1192" s="8">
        <v>5.86</v>
      </c>
      <c r="G1192" s="4">
        <v>6</v>
      </c>
      <c r="H1192" s="8">
        <v>0.71</v>
      </c>
      <c r="I1192" s="4">
        <v>0</v>
      </c>
    </row>
    <row r="1193" spans="1:9" x14ac:dyDescent="0.2">
      <c r="A1193" s="2">
        <v>12</v>
      </c>
      <c r="B1193" s="1" t="s">
        <v>98</v>
      </c>
      <c r="C1193" s="4">
        <v>43</v>
      </c>
      <c r="D1193" s="8">
        <v>2.85</v>
      </c>
      <c r="E1193" s="4">
        <v>7</v>
      </c>
      <c r="F1193" s="8">
        <v>1.08</v>
      </c>
      <c r="G1193" s="4">
        <v>36</v>
      </c>
      <c r="H1193" s="8">
        <v>4.26</v>
      </c>
      <c r="I1193" s="4">
        <v>0</v>
      </c>
    </row>
    <row r="1194" spans="1:9" x14ac:dyDescent="0.2">
      <c r="A1194" s="2">
        <v>13</v>
      </c>
      <c r="B1194" s="1" t="s">
        <v>129</v>
      </c>
      <c r="C1194" s="4">
        <v>36</v>
      </c>
      <c r="D1194" s="8">
        <v>2.39</v>
      </c>
      <c r="E1194" s="4">
        <v>30</v>
      </c>
      <c r="F1194" s="8">
        <v>4.62</v>
      </c>
      <c r="G1194" s="4">
        <v>6</v>
      </c>
      <c r="H1194" s="8">
        <v>0.71</v>
      </c>
      <c r="I1194" s="4">
        <v>0</v>
      </c>
    </row>
    <row r="1195" spans="1:9" x14ac:dyDescent="0.2">
      <c r="A1195" s="2">
        <v>14</v>
      </c>
      <c r="B1195" s="1" t="s">
        <v>99</v>
      </c>
      <c r="C1195" s="4">
        <v>35</v>
      </c>
      <c r="D1195" s="8">
        <v>2.3199999999999998</v>
      </c>
      <c r="E1195" s="4">
        <v>9</v>
      </c>
      <c r="F1195" s="8">
        <v>1.39</v>
      </c>
      <c r="G1195" s="4">
        <v>26</v>
      </c>
      <c r="H1195" s="8">
        <v>3.08</v>
      </c>
      <c r="I1195" s="4">
        <v>0</v>
      </c>
    </row>
    <row r="1196" spans="1:9" x14ac:dyDescent="0.2">
      <c r="A1196" s="2">
        <v>15</v>
      </c>
      <c r="B1196" s="1" t="s">
        <v>103</v>
      </c>
      <c r="C1196" s="4">
        <v>34</v>
      </c>
      <c r="D1196" s="8">
        <v>2.25</v>
      </c>
      <c r="E1196" s="4">
        <v>22</v>
      </c>
      <c r="F1196" s="8">
        <v>3.39</v>
      </c>
      <c r="G1196" s="4">
        <v>12</v>
      </c>
      <c r="H1196" s="8">
        <v>1.42</v>
      </c>
      <c r="I1196" s="4">
        <v>0</v>
      </c>
    </row>
    <row r="1197" spans="1:9" x14ac:dyDescent="0.2">
      <c r="A1197" s="2">
        <v>16</v>
      </c>
      <c r="B1197" s="1" t="s">
        <v>101</v>
      </c>
      <c r="C1197" s="4">
        <v>28</v>
      </c>
      <c r="D1197" s="8">
        <v>1.86</v>
      </c>
      <c r="E1197" s="4">
        <v>8</v>
      </c>
      <c r="F1197" s="8">
        <v>1.23</v>
      </c>
      <c r="G1197" s="4">
        <v>20</v>
      </c>
      <c r="H1197" s="8">
        <v>2.37</v>
      </c>
      <c r="I1197" s="4">
        <v>0</v>
      </c>
    </row>
    <row r="1198" spans="1:9" x14ac:dyDescent="0.2">
      <c r="A1198" s="2">
        <v>16</v>
      </c>
      <c r="B1198" s="1" t="s">
        <v>116</v>
      </c>
      <c r="C1198" s="4">
        <v>28</v>
      </c>
      <c r="D1198" s="8">
        <v>1.86</v>
      </c>
      <c r="E1198" s="4">
        <v>0</v>
      </c>
      <c r="F1198" s="8">
        <v>0</v>
      </c>
      <c r="G1198" s="4">
        <v>17</v>
      </c>
      <c r="H1198" s="8">
        <v>2.0099999999999998</v>
      </c>
      <c r="I1198" s="4">
        <v>0</v>
      </c>
    </row>
    <row r="1199" spans="1:9" x14ac:dyDescent="0.2">
      <c r="A1199" s="2">
        <v>18</v>
      </c>
      <c r="B1199" s="1" t="s">
        <v>131</v>
      </c>
      <c r="C1199" s="4">
        <v>25</v>
      </c>
      <c r="D1199" s="8">
        <v>1.66</v>
      </c>
      <c r="E1199" s="4">
        <v>5</v>
      </c>
      <c r="F1199" s="8">
        <v>0.77</v>
      </c>
      <c r="G1199" s="4">
        <v>20</v>
      </c>
      <c r="H1199" s="8">
        <v>2.37</v>
      </c>
      <c r="I1199" s="4">
        <v>0</v>
      </c>
    </row>
    <row r="1200" spans="1:9" x14ac:dyDescent="0.2">
      <c r="A1200" s="2">
        <v>18</v>
      </c>
      <c r="B1200" s="1" t="s">
        <v>109</v>
      </c>
      <c r="C1200" s="4">
        <v>25</v>
      </c>
      <c r="D1200" s="8">
        <v>1.66</v>
      </c>
      <c r="E1200" s="4">
        <v>9</v>
      </c>
      <c r="F1200" s="8">
        <v>1.39</v>
      </c>
      <c r="G1200" s="4">
        <v>16</v>
      </c>
      <c r="H1200" s="8">
        <v>1.89</v>
      </c>
      <c r="I1200" s="4">
        <v>0</v>
      </c>
    </row>
    <row r="1201" spans="1:9" x14ac:dyDescent="0.2">
      <c r="A1201" s="2">
        <v>18</v>
      </c>
      <c r="B1201" s="1" t="s">
        <v>115</v>
      </c>
      <c r="C1201" s="4">
        <v>25</v>
      </c>
      <c r="D1201" s="8">
        <v>1.66</v>
      </c>
      <c r="E1201" s="4">
        <v>13</v>
      </c>
      <c r="F1201" s="8">
        <v>2</v>
      </c>
      <c r="G1201" s="4">
        <v>12</v>
      </c>
      <c r="H1201" s="8">
        <v>1.42</v>
      </c>
      <c r="I1201" s="4">
        <v>0</v>
      </c>
    </row>
    <row r="1202" spans="1:9" x14ac:dyDescent="0.2">
      <c r="A1202" s="1"/>
      <c r="C1202" s="4"/>
      <c r="D1202" s="8"/>
      <c r="E1202" s="4"/>
      <c r="F1202" s="8"/>
      <c r="G1202" s="4"/>
      <c r="H1202" s="8"/>
      <c r="I1202" s="4"/>
    </row>
    <row r="1203" spans="1:9" x14ac:dyDescent="0.2">
      <c r="A1203" s="1" t="s">
        <v>54</v>
      </c>
      <c r="C1203" s="4"/>
      <c r="D1203" s="8"/>
      <c r="E1203" s="4"/>
      <c r="F1203" s="8"/>
      <c r="G1203" s="4"/>
      <c r="H1203" s="8"/>
      <c r="I1203" s="4"/>
    </row>
    <row r="1204" spans="1:9" x14ac:dyDescent="0.2">
      <c r="A1204" s="2">
        <v>1</v>
      </c>
      <c r="B1204" s="1" t="s">
        <v>107</v>
      </c>
      <c r="C1204" s="4">
        <v>111</v>
      </c>
      <c r="D1204" s="8">
        <v>11.72</v>
      </c>
      <c r="E1204" s="4">
        <v>45</v>
      </c>
      <c r="F1204" s="8">
        <v>12.78</v>
      </c>
      <c r="G1204" s="4">
        <v>66</v>
      </c>
      <c r="H1204" s="8">
        <v>11.15</v>
      </c>
      <c r="I1204" s="4">
        <v>0</v>
      </c>
    </row>
    <row r="1205" spans="1:9" x14ac:dyDescent="0.2">
      <c r="A1205" s="2">
        <v>2</v>
      </c>
      <c r="B1205" s="1" t="s">
        <v>111</v>
      </c>
      <c r="C1205" s="4">
        <v>89</v>
      </c>
      <c r="D1205" s="8">
        <v>9.4</v>
      </c>
      <c r="E1205" s="4">
        <v>61</v>
      </c>
      <c r="F1205" s="8">
        <v>17.329999999999998</v>
      </c>
      <c r="G1205" s="4">
        <v>28</v>
      </c>
      <c r="H1205" s="8">
        <v>4.7300000000000004</v>
      </c>
      <c r="I1205" s="4">
        <v>0</v>
      </c>
    </row>
    <row r="1206" spans="1:9" x14ac:dyDescent="0.2">
      <c r="A1206" s="2">
        <v>3</v>
      </c>
      <c r="B1206" s="1" t="s">
        <v>94</v>
      </c>
      <c r="C1206" s="4">
        <v>74</v>
      </c>
      <c r="D1206" s="8">
        <v>7.81</v>
      </c>
      <c r="E1206" s="4">
        <v>9</v>
      </c>
      <c r="F1206" s="8">
        <v>2.56</v>
      </c>
      <c r="G1206" s="4">
        <v>65</v>
      </c>
      <c r="H1206" s="8">
        <v>10.98</v>
      </c>
      <c r="I1206" s="4">
        <v>0</v>
      </c>
    </row>
    <row r="1207" spans="1:9" x14ac:dyDescent="0.2">
      <c r="A1207" s="2">
        <v>4</v>
      </c>
      <c r="B1207" s="1" t="s">
        <v>112</v>
      </c>
      <c r="C1207" s="4">
        <v>69</v>
      </c>
      <c r="D1207" s="8">
        <v>7.29</v>
      </c>
      <c r="E1207" s="4">
        <v>46</v>
      </c>
      <c r="F1207" s="8">
        <v>13.07</v>
      </c>
      <c r="G1207" s="4">
        <v>23</v>
      </c>
      <c r="H1207" s="8">
        <v>3.89</v>
      </c>
      <c r="I1207" s="4">
        <v>0</v>
      </c>
    </row>
    <row r="1208" spans="1:9" x14ac:dyDescent="0.2">
      <c r="A1208" s="2">
        <v>5</v>
      </c>
      <c r="B1208" s="1" t="s">
        <v>110</v>
      </c>
      <c r="C1208" s="4">
        <v>59</v>
      </c>
      <c r="D1208" s="8">
        <v>6.23</v>
      </c>
      <c r="E1208" s="4">
        <v>40</v>
      </c>
      <c r="F1208" s="8">
        <v>11.36</v>
      </c>
      <c r="G1208" s="4">
        <v>18</v>
      </c>
      <c r="H1208" s="8">
        <v>3.04</v>
      </c>
      <c r="I1208" s="4">
        <v>1</v>
      </c>
    </row>
    <row r="1209" spans="1:9" x14ac:dyDescent="0.2">
      <c r="A1209" s="2">
        <v>6</v>
      </c>
      <c r="B1209" s="1" t="s">
        <v>105</v>
      </c>
      <c r="C1209" s="4">
        <v>57</v>
      </c>
      <c r="D1209" s="8">
        <v>6.02</v>
      </c>
      <c r="E1209" s="4">
        <v>15</v>
      </c>
      <c r="F1209" s="8">
        <v>4.26</v>
      </c>
      <c r="G1209" s="4">
        <v>42</v>
      </c>
      <c r="H1209" s="8">
        <v>7.09</v>
      </c>
      <c r="I1209" s="4">
        <v>0</v>
      </c>
    </row>
    <row r="1210" spans="1:9" x14ac:dyDescent="0.2">
      <c r="A1210" s="2">
        <v>7</v>
      </c>
      <c r="B1210" s="1" t="s">
        <v>95</v>
      </c>
      <c r="C1210" s="4">
        <v>39</v>
      </c>
      <c r="D1210" s="8">
        <v>4.12</v>
      </c>
      <c r="E1210" s="4">
        <v>6</v>
      </c>
      <c r="F1210" s="8">
        <v>1.7</v>
      </c>
      <c r="G1210" s="4">
        <v>33</v>
      </c>
      <c r="H1210" s="8">
        <v>5.57</v>
      </c>
      <c r="I1210" s="4">
        <v>0</v>
      </c>
    </row>
    <row r="1211" spans="1:9" x14ac:dyDescent="0.2">
      <c r="A1211" s="2">
        <v>8</v>
      </c>
      <c r="B1211" s="1" t="s">
        <v>108</v>
      </c>
      <c r="C1211" s="4">
        <v>34</v>
      </c>
      <c r="D1211" s="8">
        <v>3.59</v>
      </c>
      <c r="E1211" s="4">
        <v>18</v>
      </c>
      <c r="F1211" s="8">
        <v>5.1100000000000003</v>
      </c>
      <c r="G1211" s="4">
        <v>16</v>
      </c>
      <c r="H1211" s="8">
        <v>2.7</v>
      </c>
      <c r="I1211" s="4">
        <v>0</v>
      </c>
    </row>
    <row r="1212" spans="1:9" x14ac:dyDescent="0.2">
      <c r="A1212" s="2">
        <v>9</v>
      </c>
      <c r="B1212" s="1" t="s">
        <v>96</v>
      </c>
      <c r="C1212" s="4">
        <v>33</v>
      </c>
      <c r="D1212" s="8">
        <v>3.48</v>
      </c>
      <c r="E1212" s="4">
        <v>5</v>
      </c>
      <c r="F1212" s="8">
        <v>1.42</v>
      </c>
      <c r="G1212" s="4">
        <v>28</v>
      </c>
      <c r="H1212" s="8">
        <v>4.7300000000000004</v>
      </c>
      <c r="I1212" s="4">
        <v>0</v>
      </c>
    </row>
    <row r="1213" spans="1:9" x14ac:dyDescent="0.2">
      <c r="A1213" s="2">
        <v>10</v>
      </c>
      <c r="B1213" s="1" t="s">
        <v>104</v>
      </c>
      <c r="C1213" s="4">
        <v>32</v>
      </c>
      <c r="D1213" s="8">
        <v>3.38</v>
      </c>
      <c r="E1213" s="4">
        <v>15</v>
      </c>
      <c r="F1213" s="8">
        <v>4.26</v>
      </c>
      <c r="G1213" s="4">
        <v>17</v>
      </c>
      <c r="H1213" s="8">
        <v>2.87</v>
      </c>
      <c r="I1213" s="4">
        <v>0</v>
      </c>
    </row>
    <row r="1214" spans="1:9" x14ac:dyDescent="0.2">
      <c r="A1214" s="2">
        <v>11</v>
      </c>
      <c r="B1214" s="1" t="s">
        <v>102</v>
      </c>
      <c r="C1214" s="4">
        <v>31</v>
      </c>
      <c r="D1214" s="8">
        <v>3.27</v>
      </c>
      <c r="E1214" s="4">
        <v>1</v>
      </c>
      <c r="F1214" s="8">
        <v>0.28000000000000003</v>
      </c>
      <c r="G1214" s="4">
        <v>30</v>
      </c>
      <c r="H1214" s="8">
        <v>5.07</v>
      </c>
      <c r="I1214" s="4">
        <v>0</v>
      </c>
    </row>
    <row r="1215" spans="1:9" x14ac:dyDescent="0.2">
      <c r="A1215" s="2">
        <v>12</v>
      </c>
      <c r="B1215" s="1" t="s">
        <v>100</v>
      </c>
      <c r="C1215" s="4">
        <v>28</v>
      </c>
      <c r="D1215" s="8">
        <v>2.96</v>
      </c>
      <c r="E1215" s="4">
        <v>0</v>
      </c>
      <c r="F1215" s="8">
        <v>0</v>
      </c>
      <c r="G1215" s="4">
        <v>28</v>
      </c>
      <c r="H1215" s="8">
        <v>4.7300000000000004</v>
      </c>
      <c r="I1215" s="4">
        <v>0</v>
      </c>
    </row>
    <row r="1216" spans="1:9" x14ac:dyDescent="0.2">
      <c r="A1216" s="2">
        <v>13</v>
      </c>
      <c r="B1216" s="1" t="s">
        <v>113</v>
      </c>
      <c r="C1216" s="4">
        <v>26</v>
      </c>
      <c r="D1216" s="8">
        <v>2.75</v>
      </c>
      <c r="E1216" s="4">
        <v>23</v>
      </c>
      <c r="F1216" s="8">
        <v>6.53</v>
      </c>
      <c r="G1216" s="4">
        <v>3</v>
      </c>
      <c r="H1216" s="8">
        <v>0.51</v>
      </c>
      <c r="I1216" s="4">
        <v>0</v>
      </c>
    </row>
    <row r="1217" spans="1:9" x14ac:dyDescent="0.2">
      <c r="A1217" s="2">
        <v>14</v>
      </c>
      <c r="B1217" s="1" t="s">
        <v>109</v>
      </c>
      <c r="C1217" s="4">
        <v>24</v>
      </c>
      <c r="D1217" s="8">
        <v>2.5299999999999998</v>
      </c>
      <c r="E1217" s="4">
        <v>6</v>
      </c>
      <c r="F1217" s="8">
        <v>1.7</v>
      </c>
      <c r="G1217" s="4">
        <v>18</v>
      </c>
      <c r="H1217" s="8">
        <v>3.04</v>
      </c>
      <c r="I1217" s="4">
        <v>0</v>
      </c>
    </row>
    <row r="1218" spans="1:9" x14ac:dyDescent="0.2">
      <c r="A1218" s="2">
        <v>15</v>
      </c>
      <c r="B1218" s="1" t="s">
        <v>106</v>
      </c>
      <c r="C1218" s="4">
        <v>21</v>
      </c>
      <c r="D1218" s="8">
        <v>2.2200000000000002</v>
      </c>
      <c r="E1218" s="4">
        <v>4</v>
      </c>
      <c r="F1218" s="8">
        <v>1.1399999999999999</v>
      </c>
      <c r="G1218" s="4">
        <v>17</v>
      </c>
      <c r="H1218" s="8">
        <v>2.87</v>
      </c>
      <c r="I1218" s="4">
        <v>0</v>
      </c>
    </row>
    <row r="1219" spans="1:9" x14ac:dyDescent="0.2">
      <c r="A1219" s="2">
        <v>16</v>
      </c>
      <c r="B1219" s="1" t="s">
        <v>103</v>
      </c>
      <c r="C1219" s="4">
        <v>18</v>
      </c>
      <c r="D1219" s="8">
        <v>1.9</v>
      </c>
      <c r="E1219" s="4">
        <v>9</v>
      </c>
      <c r="F1219" s="8">
        <v>2.56</v>
      </c>
      <c r="G1219" s="4">
        <v>9</v>
      </c>
      <c r="H1219" s="8">
        <v>1.52</v>
      </c>
      <c r="I1219" s="4">
        <v>0</v>
      </c>
    </row>
    <row r="1220" spans="1:9" x14ac:dyDescent="0.2">
      <c r="A1220" s="2">
        <v>17</v>
      </c>
      <c r="B1220" s="1" t="s">
        <v>122</v>
      </c>
      <c r="C1220" s="4">
        <v>15</v>
      </c>
      <c r="D1220" s="8">
        <v>1.58</v>
      </c>
      <c r="E1220" s="4">
        <v>9</v>
      </c>
      <c r="F1220" s="8">
        <v>2.56</v>
      </c>
      <c r="G1220" s="4">
        <v>6</v>
      </c>
      <c r="H1220" s="8">
        <v>1.01</v>
      </c>
      <c r="I1220" s="4">
        <v>0</v>
      </c>
    </row>
    <row r="1221" spans="1:9" x14ac:dyDescent="0.2">
      <c r="A1221" s="2">
        <v>18</v>
      </c>
      <c r="B1221" s="1" t="s">
        <v>99</v>
      </c>
      <c r="C1221" s="4">
        <v>14</v>
      </c>
      <c r="D1221" s="8">
        <v>1.48</v>
      </c>
      <c r="E1221" s="4">
        <v>2</v>
      </c>
      <c r="F1221" s="8">
        <v>0.56999999999999995</v>
      </c>
      <c r="G1221" s="4">
        <v>12</v>
      </c>
      <c r="H1221" s="8">
        <v>2.0299999999999998</v>
      </c>
      <c r="I1221" s="4">
        <v>0</v>
      </c>
    </row>
    <row r="1222" spans="1:9" x14ac:dyDescent="0.2">
      <c r="A1222" s="2">
        <v>19</v>
      </c>
      <c r="B1222" s="1" t="s">
        <v>114</v>
      </c>
      <c r="C1222" s="4">
        <v>13</v>
      </c>
      <c r="D1222" s="8">
        <v>1.37</v>
      </c>
      <c r="E1222" s="4">
        <v>0</v>
      </c>
      <c r="F1222" s="8">
        <v>0</v>
      </c>
      <c r="G1222" s="4">
        <v>13</v>
      </c>
      <c r="H1222" s="8">
        <v>2.2000000000000002</v>
      </c>
      <c r="I1222" s="4">
        <v>0</v>
      </c>
    </row>
    <row r="1223" spans="1:9" x14ac:dyDescent="0.2">
      <c r="A1223" s="2">
        <v>20</v>
      </c>
      <c r="B1223" s="1" t="s">
        <v>115</v>
      </c>
      <c r="C1223" s="4">
        <v>12</v>
      </c>
      <c r="D1223" s="8">
        <v>1.27</v>
      </c>
      <c r="E1223" s="4">
        <v>4</v>
      </c>
      <c r="F1223" s="8">
        <v>1.1399999999999999</v>
      </c>
      <c r="G1223" s="4">
        <v>7</v>
      </c>
      <c r="H1223" s="8">
        <v>1.18</v>
      </c>
      <c r="I1223" s="4">
        <v>0</v>
      </c>
    </row>
    <row r="1224" spans="1:9" x14ac:dyDescent="0.2">
      <c r="A1224" s="1"/>
      <c r="C1224" s="4"/>
      <c r="D1224" s="8"/>
      <c r="E1224" s="4"/>
      <c r="F1224" s="8"/>
      <c r="G1224" s="4"/>
      <c r="H1224" s="8"/>
      <c r="I1224" s="4"/>
    </row>
    <row r="1225" spans="1:9" x14ac:dyDescent="0.2">
      <c r="A1225" s="1" t="s">
        <v>55</v>
      </c>
      <c r="C1225" s="4"/>
      <c r="D1225" s="8"/>
      <c r="E1225" s="4"/>
      <c r="F1225" s="8"/>
      <c r="G1225" s="4"/>
      <c r="H1225" s="8"/>
      <c r="I1225" s="4"/>
    </row>
    <row r="1226" spans="1:9" x14ac:dyDescent="0.2">
      <c r="A1226" s="2">
        <v>1</v>
      </c>
      <c r="B1226" s="1" t="s">
        <v>111</v>
      </c>
      <c r="C1226" s="4">
        <v>64</v>
      </c>
      <c r="D1226" s="8">
        <v>8.49</v>
      </c>
      <c r="E1226" s="4">
        <v>57</v>
      </c>
      <c r="F1226" s="8">
        <v>17.760000000000002</v>
      </c>
      <c r="G1226" s="4">
        <v>7</v>
      </c>
      <c r="H1226" s="8">
        <v>1.62</v>
      </c>
      <c r="I1226" s="4">
        <v>0</v>
      </c>
    </row>
    <row r="1227" spans="1:9" x14ac:dyDescent="0.2">
      <c r="A1227" s="2">
        <v>2</v>
      </c>
      <c r="B1227" s="1" t="s">
        <v>105</v>
      </c>
      <c r="C1227" s="4">
        <v>51</v>
      </c>
      <c r="D1227" s="8">
        <v>6.76</v>
      </c>
      <c r="E1227" s="4">
        <v>22</v>
      </c>
      <c r="F1227" s="8">
        <v>6.85</v>
      </c>
      <c r="G1227" s="4">
        <v>29</v>
      </c>
      <c r="H1227" s="8">
        <v>6.71</v>
      </c>
      <c r="I1227" s="4">
        <v>0</v>
      </c>
    </row>
    <row r="1228" spans="1:9" x14ac:dyDescent="0.2">
      <c r="A1228" s="2">
        <v>3</v>
      </c>
      <c r="B1228" s="1" t="s">
        <v>95</v>
      </c>
      <c r="C1228" s="4">
        <v>50</v>
      </c>
      <c r="D1228" s="8">
        <v>6.63</v>
      </c>
      <c r="E1228" s="4">
        <v>15</v>
      </c>
      <c r="F1228" s="8">
        <v>4.67</v>
      </c>
      <c r="G1228" s="4">
        <v>35</v>
      </c>
      <c r="H1228" s="8">
        <v>8.1</v>
      </c>
      <c r="I1228" s="4">
        <v>0</v>
      </c>
    </row>
    <row r="1229" spans="1:9" x14ac:dyDescent="0.2">
      <c r="A1229" s="2">
        <v>4</v>
      </c>
      <c r="B1229" s="1" t="s">
        <v>110</v>
      </c>
      <c r="C1229" s="4">
        <v>49</v>
      </c>
      <c r="D1229" s="8">
        <v>6.5</v>
      </c>
      <c r="E1229" s="4">
        <v>39</v>
      </c>
      <c r="F1229" s="8">
        <v>12.15</v>
      </c>
      <c r="G1229" s="4">
        <v>10</v>
      </c>
      <c r="H1229" s="8">
        <v>2.31</v>
      </c>
      <c r="I1229" s="4">
        <v>0</v>
      </c>
    </row>
    <row r="1230" spans="1:9" x14ac:dyDescent="0.2">
      <c r="A1230" s="2">
        <v>5</v>
      </c>
      <c r="B1230" s="1" t="s">
        <v>94</v>
      </c>
      <c r="C1230" s="4">
        <v>47</v>
      </c>
      <c r="D1230" s="8">
        <v>6.23</v>
      </c>
      <c r="E1230" s="4">
        <v>7</v>
      </c>
      <c r="F1230" s="8">
        <v>2.1800000000000002</v>
      </c>
      <c r="G1230" s="4">
        <v>40</v>
      </c>
      <c r="H1230" s="8">
        <v>9.26</v>
      </c>
      <c r="I1230" s="4">
        <v>0</v>
      </c>
    </row>
    <row r="1231" spans="1:9" x14ac:dyDescent="0.2">
      <c r="A1231" s="2">
        <v>6</v>
      </c>
      <c r="B1231" s="1" t="s">
        <v>112</v>
      </c>
      <c r="C1231" s="4">
        <v>45</v>
      </c>
      <c r="D1231" s="8">
        <v>5.97</v>
      </c>
      <c r="E1231" s="4">
        <v>31</v>
      </c>
      <c r="F1231" s="8">
        <v>9.66</v>
      </c>
      <c r="G1231" s="4">
        <v>14</v>
      </c>
      <c r="H1231" s="8">
        <v>3.24</v>
      </c>
      <c r="I1231" s="4">
        <v>0</v>
      </c>
    </row>
    <row r="1232" spans="1:9" x14ac:dyDescent="0.2">
      <c r="A1232" s="2">
        <v>7</v>
      </c>
      <c r="B1232" s="1" t="s">
        <v>96</v>
      </c>
      <c r="C1232" s="4">
        <v>34</v>
      </c>
      <c r="D1232" s="8">
        <v>4.51</v>
      </c>
      <c r="E1232" s="4">
        <v>6</v>
      </c>
      <c r="F1232" s="8">
        <v>1.87</v>
      </c>
      <c r="G1232" s="4">
        <v>28</v>
      </c>
      <c r="H1232" s="8">
        <v>6.48</v>
      </c>
      <c r="I1232" s="4">
        <v>0</v>
      </c>
    </row>
    <row r="1233" spans="1:9" x14ac:dyDescent="0.2">
      <c r="A1233" s="2">
        <v>8</v>
      </c>
      <c r="B1233" s="1" t="s">
        <v>104</v>
      </c>
      <c r="C1233" s="4">
        <v>30</v>
      </c>
      <c r="D1233" s="8">
        <v>3.98</v>
      </c>
      <c r="E1233" s="4">
        <v>16</v>
      </c>
      <c r="F1233" s="8">
        <v>4.9800000000000004</v>
      </c>
      <c r="G1233" s="4">
        <v>14</v>
      </c>
      <c r="H1233" s="8">
        <v>3.24</v>
      </c>
      <c r="I1233" s="4">
        <v>0</v>
      </c>
    </row>
    <row r="1234" spans="1:9" x14ac:dyDescent="0.2">
      <c r="A1234" s="2">
        <v>9</v>
      </c>
      <c r="B1234" s="1" t="s">
        <v>102</v>
      </c>
      <c r="C1234" s="4">
        <v>29</v>
      </c>
      <c r="D1234" s="8">
        <v>3.85</v>
      </c>
      <c r="E1234" s="4">
        <v>4</v>
      </c>
      <c r="F1234" s="8">
        <v>1.25</v>
      </c>
      <c r="G1234" s="4">
        <v>25</v>
      </c>
      <c r="H1234" s="8">
        <v>5.79</v>
      </c>
      <c r="I1234" s="4">
        <v>0</v>
      </c>
    </row>
    <row r="1235" spans="1:9" x14ac:dyDescent="0.2">
      <c r="A1235" s="2">
        <v>10</v>
      </c>
      <c r="B1235" s="1" t="s">
        <v>113</v>
      </c>
      <c r="C1235" s="4">
        <v>28</v>
      </c>
      <c r="D1235" s="8">
        <v>3.71</v>
      </c>
      <c r="E1235" s="4">
        <v>27</v>
      </c>
      <c r="F1235" s="8">
        <v>8.41</v>
      </c>
      <c r="G1235" s="4">
        <v>1</v>
      </c>
      <c r="H1235" s="8">
        <v>0.23</v>
      </c>
      <c r="I1235" s="4">
        <v>0</v>
      </c>
    </row>
    <row r="1236" spans="1:9" x14ac:dyDescent="0.2">
      <c r="A1236" s="2">
        <v>11</v>
      </c>
      <c r="B1236" s="1" t="s">
        <v>107</v>
      </c>
      <c r="C1236" s="4">
        <v>25</v>
      </c>
      <c r="D1236" s="8">
        <v>3.32</v>
      </c>
      <c r="E1236" s="4">
        <v>2</v>
      </c>
      <c r="F1236" s="8">
        <v>0.62</v>
      </c>
      <c r="G1236" s="4">
        <v>23</v>
      </c>
      <c r="H1236" s="8">
        <v>5.32</v>
      </c>
      <c r="I1236" s="4">
        <v>0</v>
      </c>
    </row>
    <row r="1237" spans="1:9" x14ac:dyDescent="0.2">
      <c r="A1237" s="2">
        <v>12</v>
      </c>
      <c r="B1237" s="1" t="s">
        <v>108</v>
      </c>
      <c r="C1237" s="4">
        <v>23</v>
      </c>
      <c r="D1237" s="8">
        <v>3.05</v>
      </c>
      <c r="E1237" s="4">
        <v>13</v>
      </c>
      <c r="F1237" s="8">
        <v>4.05</v>
      </c>
      <c r="G1237" s="4">
        <v>10</v>
      </c>
      <c r="H1237" s="8">
        <v>2.31</v>
      </c>
      <c r="I1237" s="4">
        <v>0</v>
      </c>
    </row>
    <row r="1238" spans="1:9" x14ac:dyDescent="0.2">
      <c r="A1238" s="2">
        <v>13</v>
      </c>
      <c r="B1238" s="1" t="s">
        <v>98</v>
      </c>
      <c r="C1238" s="4">
        <v>21</v>
      </c>
      <c r="D1238" s="8">
        <v>2.79</v>
      </c>
      <c r="E1238" s="4">
        <v>4</v>
      </c>
      <c r="F1238" s="8">
        <v>1.25</v>
      </c>
      <c r="G1238" s="4">
        <v>17</v>
      </c>
      <c r="H1238" s="8">
        <v>3.94</v>
      </c>
      <c r="I1238" s="4">
        <v>0</v>
      </c>
    </row>
    <row r="1239" spans="1:9" x14ac:dyDescent="0.2">
      <c r="A1239" s="2">
        <v>14</v>
      </c>
      <c r="B1239" s="1" t="s">
        <v>97</v>
      </c>
      <c r="C1239" s="4">
        <v>18</v>
      </c>
      <c r="D1239" s="8">
        <v>2.39</v>
      </c>
      <c r="E1239" s="4">
        <v>4</v>
      </c>
      <c r="F1239" s="8">
        <v>1.25</v>
      </c>
      <c r="G1239" s="4">
        <v>14</v>
      </c>
      <c r="H1239" s="8">
        <v>3.24</v>
      </c>
      <c r="I1239" s="4">
        <v>0</v>
      </c>
    </row>
    <row r="1240" spans="1:9" x14ac:dyDescent="0.2">
      <c r="A1240" s="2">
        <v>14</v>
      </c>
      <c r="B1240" s="1" t="s">
        <v>100</v>
      </c>
      <c r="C1240" s="4">
        <v>18</v>
      </c>
      <c r="D1240" s="8">
        <v>2.39</v>
      </c>
      <c r="E1240" s="4">
        <v>4</v>
      </c>
      <c r="F1240" s="8">
        <v>1.25</v>
      </c>
      <c r="G1240" s="4">
        <v>14</v>
      </c>
      <c r="H1240" s="8">
        <v>3.24</v>
      </c>
      <c r="I1240" s="4">
        <v>0</v>
      </c>
    </row>
    <row r="1241" spans="1:9" x14ac:dyDescent="0.2">
      <c r="A1241" s="2">
        <v>16</v>
      </c>
      <c r="B1241" s="1" t="s">
        <v>124</v>
      </c>
      <c r="C1241" s="4">
        <v>14</v>
      </c>
      <c r="D1241" s="8">
        <v>1.86</v>
      </c>
      <c r="E1241" s="4">
        <v>2</v>
      </c>
      <c r="F1241" s="8">
        <v>0.62</v>
      </c>
      <c r="G1241" s="4">
        <v>12</v>
      </c>
      <c r="H1241" s="8">
        <v>2.78</v>
      </c>
      <c r="I1241" s="4">
        <v>0</v>
      </c>
    </row>
    <row r="1242" spans="1:9" x14ac:dyDescent="0.2">
      <c r="A1242" s="2">
        <v>16</v>
      </c>
      <c r="B1242" s="1" t="s">
        <v>109</v>
      </c>
      <c r="C1242" s="4">
        <v>14</v>
      </c>
      <c r="D1242" s="8">
        <v>1.86</v>
      </c>
      <c r="E1242" s="4">
        <v>10</v>
      </c>
      <c r="F1242" s="8">
        <v>3.12</v>
      </c>
      <c r="G1242" s="4">
        <v>4</v>
      </c>
      <c r="H1242" s="8">
        <v>0.93</v>
      </c>
      <c r="I1242" s="4">
        <v>0</v>
      </c>
    </row>
    <row r="1243" spans="1:9" x14ac:dyDescent="0.2">
      <c r="A1243" s="2">
        <v>18</v>
      </c>
      <c r="B1243" s="1" t="s">
        <v>103</v>
      </c>
      <c r="C1243" s="4">
        <v>13</v>
      </c>
      <c r="D1243" s="8">
        <v>1.72</v>
      </c>
      <c r="E1243" s="4">
        <v>12</v>
      </c>
      <c r="F1243" s="8">
        <v>3.74</v>
      </c>
      <c r="G1243" s="4">
        <v>1</v>
      </c>
      <c r="H1243" s="8">
        <v>0.23</v>
      </c>
      <c r="I1243" s="4">
        <v>0</v>
      </c>
    </row>
    <row r="1244" spans="1:9" x14ac:dyDescent="0.2">
      <c r="A1244" s="2">
        <v>18</v>
      </c>
      <c r="B1244" s="1" t="s">
        <v>122</v>
      </c>
      <c r="C1244" s="4">
        <v>13</v>
      </c>
      <c r="D1244" s="8">
        <v>1.72</v>
      </c>
      <c r="E1244" s="4">
        <v>10</v>
      </c>
      <c r="F1244" s="8">
        <v>3.12</v>
      </c>
      <c r="G1244" s="4">
        <v>3</v>
      </c>
      <c r="H1244" s="8">
        <v>0.69</v>
      </c>
      <c r="I1244" s="4">
        <v>0</v>
      </c>
    </row>
    <row r="1245" spans="1:9" x14ac:dyDescent="0.2">
      <c r="A1245" s="2">
        <v>20</v>
      </c>
      <c r="B1245" s="1" t="s">
        <v>114</v>
      </c>
      <c r="C1245" s="4">
        <v>12</v>
      </c>
      <c r="D1245" s="8">
        <v>1.59</v>
      </c>
      <c r="E1245" s="4">
        <v>0</v>
      </c>
      <c r="F1245" s="8">
        <v>0</v>
      </c>
      <c r="G1245" s="4">
        <v>11</v>
      </c>
      <c r="H1245" s="8">
        <v>2.5499999999999998</v>
      </c>
      <c r="I1245" s="4">
        <v>0</v>
      </c>
    </row>
    <row r="1246" spans="1:9" x14ac:dyDescent="0.2">
      <c r="A1246" s="1"/>
      <c r="C1246" s="4"/>
      <c r="D1246" s="8"/>
      <c r="E1246" s="4"/>
      <c r="F1246" s="8"/>
      <c r="G1246" s="4"/>
      <c r="H1246" s="8"/>
      <c r="I1246" s="4"/>
    </row>
    <row r="1247" spans="1:9" x14ac:dyDescent="0.2">
      <c r="A1247" s="1" t="s">
        <v>56</v>
      </c>
      <c r="C1247" s="4"/>
      <c r="D1247" s="8"/>
      <c r="E1247" s="4"/>
      <c r="F1247" s="8"/>
      <c r="G1247" s="4"/>
      <c r="H1247" s="8"/>
      <c r="I1247" s="4"/>
    </row>
    <row r="1248" spans="1:9" x14ac:dyDescent="0.2">
      <c r="A1248" s="2">
        <v>1</v>
      </c>
      <c r="B1248" s="1" t="s">
        <v>107</v>
      </c>
      <c r="C1248" s="4">
        <v>45</v>
      </c>
      <c r="D1248" s="8">
        <v>11.42</v>
      </c>
      <c r="E1248" s="4">
        <v>31</v>
      </c>
      <c r="F1248" s="8">
        <v>19.02</v>
      </c>
      <c r="G1248" s="4">
        <v>14</v>
      </c>
      <c r="H1248" s="8">
        <v>6.09</v>
      </c>
      <c r="I1248" s="4">
        <v>0</v>
      </c>
    </row>
    <row r="1249" spans="1:9" x14ac:dyDescent="0.2">
      <c r="A1249" s="2">
        <v>2</v>
      </c>
      <c r="B1249" s="1" t="s">
        <v>110</v>
      </c>
      <c r="C1249" s="4">
        <v>36</v>
      </c>
      <c r="D1249" s="8">
        <v>9.14</v>
      </c>
      <c r="E1249" s="4">
        <v>25</v>
      </c>
      <c r="F1249" s="8">
        <v>15.34</v>
      </c>
      <c r="G1249" s="4">
        <v>11</v>
      </c>
      <c r="H1249" s="8">
        <v>4.78</v>
      </c>
      <c r="I1249" s="4">
        <v>0</v>
      </c>
    </row>
    <row r="1250" spans="1:9" x14ac:dyDescent="0.2">
      <c r="A1250" s="2">
        <v>3</v>
      </c>
      <c r="B1250" s="1" t="s">
        <v>118</v>
      </c>
      <c r="C1250" s="4">
        <v>29</v>
      </c>
      <c r="D1250" s="8">
        <v>7.36</v>
      </c>
      <c r="E1250" s="4">
        <v>2</v>
      </c>
      <c r="F1250" s="8">
        <v>1.23</v>
      </c>
      <c r="G1250" s="4">
        <v>27</v>
      </c>
      <c r="H1250" s="8">
        <v>11.74</v>
      </c>
      <c r="I1250" s="4">
        <v>0</v>
      </c>
    </row>
    <row r="1251" spans="1:9" x14ac:dyDescent="0.2">
      <c r="A1251" s="2">
        <v>4</v>
      </c>
      <c r="B1251" s="1" t="s">
        <v>111</v>
      </c>
      <c r="C1251" s="4">
        <v>28</v>
      </c>
      <c r="D1251" s="8">
        <v>7.11</v>
      </c>
      <c r="E1251" s="4">
        <v>22</v>
      </c>
      <c r="F1251" s="8">
        <v>13.5</v>
      </c>
      <c r="G1251" s="4">
        <v>6</v>
      </c>
      <c r="H1251" s="8">
        <v>2.61</v>
      </c>
      <c r="I1251" s="4">
        <v>0</v>
      </c>
    </row>
    <row r="1252" spans="1:9" x14ac:dyDescent="0.2">
      <c r="A1252" s="2">
        <v>5</v>
      </c>
      <c r="B1252" s="1" t="s">
        <v>95</v>
      </c>
      <c r="C1252" s="4">
        <v>19</v>
      </c>
      <c r="D1252" s="8">
        <v>4.82</v>
      </c>
      <c r="E1252" s="4">
        <v>8</v>
      </c>
      <c r="F1252" s="8">
        <v>4.91</v>
      </c>
      <c r="G1252" s="4">
        <v>11</v>
      </c>
      <c r="H1252" s="8">
        <v>4.78</v>
      </c>
      <c r="I1252" s="4">
        <v>0</v>
      </c>
    </row>
    <row r="1253" spans="1:9" x14ac:dyDescent="0.2">
      <c r="A1253" s="2">
        <v>6</v>
      </c>
      <c r="B1253" s="1" t="s">
        <v>105</v>
      </c>
      <c r="C1253" s="4">
        <v>17</v>
      </c>
      <c r="D1253" s="8">
        <v>4.3099999999999996</v>
      </c>
      <c r="E1253" s="4">
        <v>6</v>
      </c>
      <c r="F1253" s="8">
        <v>3.68</v>
      </c>
      <c r="G1253" s="4">
        <v>11</v>
      </c>
      <c r="H1253" s="8">
        <v>4.78</v>
      </c>
      <c r="I1253" s="4">
        <v>0</v>
      </c>
    </row>
    <row r="1254" spans="1:9" x14ac:dyDescent="0.2">
      <c r="A1254" s="2">
        <v>7</v>
      </c>
      <c r="B1254" s="1" t="s">
        <v>104</v>
      </c>
      <c r="C1254" s="4">
        <v>15</v>
      </c>
      <c r="D1254" s="8">
        <v>3.81</v>
      </c>
      <c r="E1254" s="4">
        <v>5</v>
      </c>
      <c r="F1254" s="8">
        <v>3.07</v>
      </c>
      <c r="G1254" s="4">
        <v>10</v>
      </c>
      <c r="H1254" s="8">
        <v>4.3499999999999996</v>
      </c>
      <c r="I1254" s="4">
        <v>0</v>
      </c>
    </row>
    <row r="1255" spans="1:9" x14ac:dyDescent="0.2">
      <c r="A1255" s="2">
        <v>8</v>
      </c>
      <c r="B1255" s="1" t="s">
        <v>102</v>
      </c>
      <c r="C1255" s="4">
        <v>14</v>
      </c>
      <c r="D1255" s="8">
        <v>3.55</v>
      </c>
      <c r="E1255" s="4">
        <v>4</v>
      </c>
      <c r="F1255" s="8">
        <v>2.4500000000000002</v>
      </c>
      <c r="G1255" s="4">
        <v>10</v>
      </c>
      <c r="H1255" s="8">
        <v>4.3499999999999996</v>
      </c>
      <c r="I1255" s="4">
        <v>0</v>
      </c>
    </row>
    <row r="1256" spans="1:9" x14ac:dyDescent="0.2">
      <c r="A1256" s="2">
        <v>9</v>
      </c>
      <c r="B1256" s="1" t="s">
        <v>94</v>
      </c>
      <c r="C1256" s="4">
        <v>12</v>
      </c>
      <c r="D1256" s="8">
        <v>3.05</v>
      </c>
      <c r="E1256" s="4">
        <v>2</v>
      </c>
      <c r="F1256" s="8">
        <v>1.23</v>
      </c>
      <c r="G1256" s="4">
        <v>10</v>
      </c>
      <c r="H1256" s="8">
        <v>4.3499999999999996</v>
      </c>
      <c r="I1256" s="4">
        <v>0</v>
      </c>
    </row>
    <row r="1257" spans="1:9" x14ac:dyDescent="0.2">
      <c r="A1257" s="2">
        <v>9</v>
      </c>
      <c r="B1257" s="1" t="s">
        <v>96</v>
      </c>
      <c r="C1257" s="4">
        <v>12</v>
      </c>
      <c r="D1257" s="8">
        <v>3.05</v>
      </c>
      <c r="E1257" s="4">
        <v>2</v>
      </c>
      <c r="F1257" s="8">
        <v>1.23</v>
      </c>
      <c r="G1257" s="4">
        <v>10</v>
      </c>
      <c r="H1257" s="8">
        <v>4.3499999999999996</v>
      </c>
      <c r="I1257" s="4">
        <v>0</v>
      </c>
    </row>
    <row r="1258" spans="1:9" x14ac:dyDescent="0.2">
      <c r="A1258" s="2">
        <v>11</v>
      </c>
      <c r="B1258" s="1" t="s">
        <v>108</v>
      </c>
      <c r="C1258" s="4">
        <v>11</v>
      </c>
      <c r="D1258" s="8">
        <v>2.79</v>
      </c>
      <c r="E1258" s="4">
        <v>7</v>
      </c>
      <c r="F1258" s="8">
        <v>4.29</v>
      </c>
      <c r="G1258" s="4">
        <v>4</v>
      </c>
      <c r="H1258" s="8">
        <v>1.74</v>
      </c>
      <c r="I1258" s="4">
        <v>0</v>
      </c>
    </row>
    <row r="1259" spans="1:9" x14ac:dyDescent="0.2">
      <c r="A1259" s="2">
        <v>12</v>
      </c>
      <c r="B1259" s="1" t="s">
        <v>112</v>
      </c>
      <c r="C1259" s="4">
        <v>9</v>
      </c>
      <c r="D1259" s="8">
        <v>2.2799999999999998</v>
      </c>
      <c r="E1259" s="4">
        <v>6</v>
      </c>
      <c r="F1259" s="8">
        <v>3.68</v>
      </c>
      <c r="G1259" s="4">
        <v>2</v>
      </c>
      <c r="H1259" s="8">
        <v>0.87</v>
      </c>
      <c r="I1259" s="4">
        <v>0</v>
      </c>
    </row>
    <row r="1260" spans="1:9" x14ac:dyDescent="0.2">
      <c r="A1260" s="2">
        <v>13</v>
      </c>
      <c r="B1260" s="1" t="s">
        <v>128</v>
      </c>
      <c r="C1260" s="4">
        <v>8</v>
      </c>
      <c r="D1260" s="8">
        <v>2.0299999999999998</v>
      </c>
      <c r="E1260" s="4">
        <v>3</v>
      </c>
      <c r="F1260" s="8">
        <v>1.84</v>
      </c>
      <c r="G1260" s="4">
        <v>5</v>
      </c>
      <c r="H1260" s="8">
        <v>2.17</v>
      </c>
      <c r="I1260" s="4">
        <v>0</v>
      </c>
    </row>
    <row r="1261" spans="1:9" x14ac:dyDescent="0.2">
      <c r="A1261" s="2">
        <v>13</v>
      </c>
      <c r="B1261" s="1" t="s">
        <v>99</v>
      </c>
      <c r="C1261" s="4">
        <v>8</v>
      </c>
      <c r="D1261" s="8">
        <v>2.0299999999999998</v>
      </c>
      <c r="E1261" s="4">
        <v>0</v>
      </c>
      <c r="F1261" s="8">
        <v>0</v>
      </c>
      <c r="G1261" s="4">
        <v>8</v>
      </c>
      <c r="H1261" s="8">
        <v>3.48</v>
      </c>
      <c r="I1261" s="4">
        <v>0</v>
      </c>
    </row>
    <row r="1262" spans="1:9" x14ac:dyDescent="0.2">
      <c r="A1262" s="2">
        <v>13</v>
      </c>
      <c r="B1262" s="1" t="s">
        <v>101</v>
      </c>
      <c r="C1262" s="4">
        <v>8</v>
      </c>
      <c r="D1262" s="8">
        <v>2.0299999999999998</v>
      </c>
      <c r="E1262" s="4">
        <v>0</v>
      </c>
      <c r="F1262" s="8">
        <v>0</v>
      </c>
      <c r="G1262" s="4">
        <v>8</v>
      </c>
      <c r="H1262" s="8">
        <v>3.48</v>
      </c>
      <c r="I1262" s="4">
        <v>0</v>
      </c>
    </row>
    <row r="1263" spans="1:9" x14ac:dyDescent="0.2">
      <c r="A1263" s="2">
        <v>13</v>
      </c>
      <c r="B1263" s="1" t="s">
        <v>103</v>
      </c>
      <c r="C1263" s="4">
        <v>8</v>
      </c>
      <c r="D1263" s="8">
        <v>2.0299999999999998</v>
      </c>
      <c r="E1263" s="4">
        <v>6</v>
      </c>
      <c r="F1263" s="8">
        <v>3.68</v>
      </c>
      <c r="G1263" s="4">
        <v>2</v>
      </c>
      <c r="H1263" s="8">
        <v>0.87</v>
      </c>
      <c r="I1263" s="4">
        <v>0</v>
      </c>
    </row>
    <row r="1264" spans="1:9" x14ac:dyDescent="0.2">
      <c r="A1264" s="2">
        <v>13</v>
      </c>
      <c r="B1264" s="1" t="s">
        <v>106</v>
      </c>
      <c r="C1264" s="4">
        <v>8</v>
      </c>
      <c r="D1264" s="8">
        <v>2.0299999999999998</v>
      </c>
      <c r="E1264" s="4">
        <v>4</v>
      </c>
      <c r="F1264" s="8">
        <v>2.4500000000000002</v>
      </c>
      <c r="G1264" s="4">
        <v>4</v>
      </c>
      <c r="H1264" s="8">
        <v>1.74</v>
      </c>
      <c r="I1264" s="4">
        <v>0</v>
      </c>
    </row>
    <row r="1265" spans="1:9" x14ac:dyDescent="0.2">
      <c r="A1265" s="2">
        <v>18</v>
      </c>
      <c r="B1265" s="1" t="s">
        <v>98</v>
      </c>
      <c r="C1265" s="4">
        <v>7</v>
      </c>
      <c r="D1265" s="8">
        <v>1.78</v>
      </c>
      <c r="E1265" s="4">
        <v>0</v>
      </c>
      <c r="F1265" s="8">
        <v>0</v>
      </c>
      <c r="G1265" s="4">
        <v>7</v>
      </c>
      <c r="H1265" s="8">
        <v>3.04</v>
      </c>
      <c r="I1265" s="4">
        <v>0</v>
      </c>
    </row>
    <row r="1266" spans="1:9" x14ac:dyDescent="0.2">
      <c r="A1266" s="2">
        <v>18</v>
      </c>
      <c r="B1266" s="1" t="s">
        <v>109</v>
      </c>
      <c r="C1266" s="4">
        <v>7</v>
      </c>
      <c r="D1266" s="8">
        <v>1.78</v>
      </c>
      <c r="E1266" s="4">
        <v>4</v>
      </c>
      <c r="F1266" s="8">
        <v>2.4500000000000002</v>
      </c>
      <c r="G1266" s="4">
        <v>3</v>
      </c>
      <c r="H1266" s="8">
        <v>1.3</v>
      </c>
      <c r="I1266" s="4">
        <v>0</v>
      </c>
    </row>
    <row r="1267" spans="1:9" x14ac:dyDescent="0.2">
      <c r="A1267" s="2">
        <v>18</v>
      </c>
      <c r="B1267" s="1" t="s">
        <v>113</v>
      </c>
      <c r="C1267" s="4">
        <v>7</v>
      </c>
      <c r="D1267" s="8">
        <v>1.78</v>
      </c>
      <c r="E1267" s="4">
        <v>6</v>
      </c>
      <c r="F1267" s="8">
        <v>3.68</v>
      </c>
      <c r="G1267" s="4">
        <v>1</v>
      </c>
      <c r="H1267" s="8">
        <v>0.43</v>
      </c>
      <c r="I1267" s="4">
        <v>0</v>
      </c>
    </row>
    <row r="1268" spans="1:9" x14ac:dyDescent="0.2">
      <c r="A1268" s="2">
        <v>18</v>
      </c>
      <c r="B1268" s="1" t="s">
        <v>122</v>
      </c>
      <c r="C1268" s="4">
        <v>7</v>
      </c>
      <c r="D1268" s="8">
        <v>1.78</v>
      </c>
      <c r="E1268" s="4">
        <v>5</v>
      </c>
      <c r="F1268" s="8">
        <v>3.07</v>
      </c>
      <c r="G1268" s="4">
        <v>2</v>
      </c>
      <c r="H1268" s="8">
        <v>0.87</v>
      </c>
      <c r="I1268" s="4">
        <v>0</v>
      </c>
    </row>
    <row r="1269" spans="1:9" x14ac:dyDescent="0.2">
      <c r="A1269" s="2">
        <v>18</v>
      </c>
      <c r="B1269" s="1" t="s">
        <v>114</v>
      </c>
      <c r="C1269" s="4">
        <v>7</v>
      </c>
      <c r="D1269" s="8">
        <v>1.78</v>
      </c>
      <c r="E1269" s="4">
        <v>0</v>
      </c>
      <c r="F1269" s="8">
        <v>0</v>
      </c>
      <c r="G1269" s="4">
        <v>7</v>
      </c>
      <c r="H1269" s="8">
        <v>3.04</v>
      </c>
      <c r="I1269" s="4">
        <v>0</v>
      </c>
    </row>
    <row r="1270" spans="1:9" x14ac:dyDescent="0.2">
      <c r="A1270" s="1"/>
      <c r="C1270" s="4"/>
      <c r="D1270" s="8"/>
      <c r="E1270" s="4"/>
      <c r="F1270" s="8"/>
      <c r="G1270" s="4"/>
      <c r="H1270" s="8"/>
      <c r="I1270" s="4"/>
    </row>
    <row r="1271" spans="1:9" x14ac:dyDescent="0.2">
      <c r="A1271" s="1" t="s">
        <v>57</v>
      </c>
      <c r="C1271" s="4"/>
      <c r="D1271" s="8"/>
      <c r="E1271" s="4"/>
      <c r="F1271" s="8"/>
      <c r="G1271" s="4"/>
      <c r="H1271" s="8"/>
      <c r="I1271" s="4"/>
    </row>
    <row r="1272" spans="1:9" x14ac:dyDescent="0.2">
      <c r="A1272" s="2">
        <v>1</v>
      </c>
      <c r="B1272" s="1" t="s">
        <v>110</v>
      </c>
      <c r="C1272" s="4">
        <v>33</v>
      </c>
      <c r="D1272" s="8">
        <v>7.84</v>
      </c>
      <c r="E1272" s="4">
        <v>28</v>
      </c>
      <c r="F1272" s="8">
        <v>17.07</v>
      </c>
      <c r="G1272" s="4">
        <v>4</v>
      </c>
      <c r="H1272" s="8">
        <v>1.59</v>
      </c>
      <c r="I1272" s="4">
        <v>1</v>
      </c>
    </row>
    <row r="1273" spans="1:9" x14ac:dyDescent="0.2">
      <c r="A1273" s="2">
        <v>2</v>
      </c>
      <c r="B1273" s="1" t="s">
        <v>98</v>
      </c>
      <c r="C1273" s="4">
        <v>29</v>
      </c>
      <c r="D1273" s="8">
        <v>6.89</v>
      </c>
      <c r="E1273" s="4">
        <v>3</v>
      </c>
      <c r="F1273" s="8">
        <v>1.83</v>
      </c>
      <c r="G1273" s="4">
        <v>26</v>
      </c>
      <c r="H1273" s="8">
        <v>10.32</v>
      </c>
      <c r="I1273" s="4">
        <v>0</v>
      </c>
    </row>
    <row r="1274" spans="1:9" x14ac:dyDescent="0.2">
      <c r="A1274" s="2">
        <v>3</v>
      </c>
      <c r="B1274" s="1" t="s">
        <v>95</v>
      </c>
      <c r="C1274" s="4">
        <v>28</v>
      </c>
      <c r="D1274" s="8">
        <v>6.65</v>
      </c>
      <c r="E1274" s="4">
        <v>9</v>
      </c>
      <c r="F1274" s="8">
        <v>5.49</v>
      </c>
      <c r="G1274" s="4">
        <v>19</v>
      </c>
      <c r="H1274" s="8">
        <v>7.54</v>
      </c>
      <c r="I1274" s="4">
        <v>0</v>
      </c>
    </row>
    <row r="1275" spans="1:9" x14ac:dyDescent="0.2">
      <c r="A1275" s="2">
        <v>3</v>
      </c>
      <c r="B1275" s="1" t="s">
        <v>111</v>
      </c>
      <c r="C1275" s="4">
        <v>28</v>
      </c>
      <c r="D1275" s="8">
        <v>6.65</v>
      </c>
      <c r="E1275" s="4">
        <v>25</v>
      </c>
      <c r="F1275" s="8">
        <v>15.24</v>
      </c>
      <c r="G1275" s="4">
        <v>3</v>
      </c>
      <c r="H1275" s="8">
        <v>1.19</v>
      </c>
      <c r="I1275" s="4">
        <v>0</v>
      </c>
    </row>
    <row r="1276" spans="1:9" x14ac:dyDescent="0.2">
      <c r="A1276" s="2">
        <v>5</v>
      </c>
      <c r="B1276" s="1" t="s">
        <v>94</v>
      </c>
      <c r="C1276" s="4">
        <v>21</v>
      </c>
      <c r="D1276" s="8">
        <v>4.99</v>
      </c>
      <c r="E1276" s="4">
        <v>6</v>
      </c>
      <c r="F1276" s="8">
        <v>3.66</v>
      </c>
      <c r="G1276" s="4">
        <v>15</v>
      </c>
      <c r="H1276" s="8">
        <v>5.95</v>
      </c>
      <c r="I1276" s="4">
        <v>0</v>
      </c>
    </row>
    <row r="1277" spans="1:9" x14ac:dyDescent="0.2">
      <c r="A1277" s="2">
        <v>5</v>
      </c>
      <c r="B1277" s="1" t="s">
        <v>112</v>
      </c>
      <c r="C1277" s="4">
        <v>21</v>
      </c>
      <c r="D1277" s="8">
        <v>4.99</v>
      </c>
      <c r="E1277" s="4">
        <v>15</v>
      </c>
      <c r="F1277" s="8">
        <v>9.15</v>
      </c>
      <c r="G1277" s="4">
        <v>5</v>
      </c>
      <c r="H1277" s="8">
        <v>1.98</v>
      </c>
      <c r="I1277" s="4">
        <v>0</v>
      </c>
    </row>
    <row r="1278" spans="1:9" x14ac:dyDescent="0.2">
      <c r="A1278" s="2">
        <v>7</v>
      </c>
      <c r="B1278" s="1" t="s">
        <v>99</v>
      </c>
      <c r="C1278" s="4">
        <v>19</v>
      </c>
      <c r="D1278" s="8">
        <v>4.51</v>
      </c>
      <c r="E1278" s="4">
        <v>4</v>
      </c>
      <c r="F1278" s="8">
        <v>2.44</v>
      </c>
      <c r="G1278" s="4">
        <v>15</v>
      </c>
      <c r="H1278" s="8">
        <v>5.95</v>
      </c>
      <c r="I1278" s="4">
        <v>0</v>
      </c>
    </row>
    <row r="1279" spans="1:9" x14ac:dyDescent="0.2">
      <c r="A1279" s="2">
        <v>8</v>
      </c>
      <c r="B1279" s="1" t="s">
        <v>105</v>
      </c>
      <c r="C1279" s="4">
        <v>17</v>
      </c>
      <c r="D1279" s="8">
        <v>4.04</v>
      </c>
      <c r="E1279" s="4">
        <v>5</v>
      </c>
      <c r="F1279" s="8">
        <v>3.05</v>
      </c>
      <c r="G1279" s="4">
        <v>12</v>
      </c>
      <c r="H1279" s="8">
        <v>4.76</v>
      </c>
      <c r="I1279" s="4">
        <v>0</v>
      </c>
    </row>
    <row r="1280" spans="1:9" x14ac:dyDescent="0.2">
      <c r="A1280" s="2">
        <v>9</v>
      </c>
      <c r="B1280" s="1" t="s">
        <v>96</v>
      </c>
      <c r="C1280" s="4">
        <v>15</v>
      </c>
      <c r="D1280" s="8">
        <v>3.56</v>
      </c>
      <c r="E1280" s="4">
        <v>0</v>
      </c>
      <c r="F1280" s="8">
        <v>0</v>
      </c>
      <c r="G1280" s="4">
        <v>15</v>
      </c>
      <c r="H1280" s="8">
        <v>5.95</v>
      </c>
      <c r="I1280" s="4">
        <v>0</v>
      </c>
    </row>
    <row r="1281" spans="1:9" x14ac:dyDescent="0.2">
      <c r="A1281" s="2">
        <v>9</v>
      </c>
      <c r="B1281" s="1" t="s">
        <v>97</v>
      </c>
      <c r="C1281" s="4">
        <v>15</v>
      </c>
      <c r="D1281" s="8">
        <v>3.56</v>
      </c>
      <c r="E1281" s="4">
        <v>3</v>
      </c>
      <c r="F1281" s="8">
        <v>1.83</v>
      </c>
      <c r="G1281" s="4">
        <v>12</v>
      </c>
      <c r="H1281" s="8">
        <v>4.76</v>
      </c>
      <c r="I1281" s="4">
        <v>0</v>
      </c>
    </row>
    <row r="1282" spans="1:9" x14ac:dyDescent="0.2">
      <c r="A1282" s="2">
        <v>11</v>
      </c>
      <c r="B1282" s="1" t="s">
        <v>122</v>
      </c>
      <c r="C1282" s="4">
        <v>12</v>
      </c>
      <c r="D1282" s="8">
        <v>2.85</v>
      </c>
      <c r="E1282" s="4">
        <v>9</v>
      </c>
      <c r="F1282" s="8">
        <v>5.49</v>
      </c>
      <c r="G1282" s="4">
        <v>3</v>
      </c>
      <c r="H1282" s="8">
        <v>1.19</v>
      </c>
      <c r="I1282" s="4">
        <v>0</v>
      </c>
    </row>
    <row r="1283" spans="1:9" x14ac:dyDescent="0.2">
      <c r="A1283" s="2">
        <v>12</v>
      </c>
      <c r="B1283" s="1" t="s">
        <v>103</v>
      </c>
      <c r="C1283" s="4">
        <v>11</v>
      </c>
      <c r="D1283" s="8">
        <v>2.61</v>
      </c>
      <c r="E1283" s="4">
        <v>4</v>
      </c>
      <c r="F1283" s="8">
        <v>2.44</v>
      </c>
      <c r="G1283" s="4">
        <v>7</v>
      </c>
      <c r="H1283" s="8">
        <v>2.78</v>
      </c>
      <c r="I1283" s="4">
        <v>0</v>
      </c>
    </row>
    <row r="1284" spans="1:9" x14ac:dyDescent="0.2">
      <c r="A1284" s="2">
        <v>12</v>
      </c>
      <c r="B1284" s="1" t="s">
        <v>104</v>
      </c>
      <c r="C1284" s="4">
        <v>11</v>
      </c>
      <c r="D1284" s="8">
        <v>2.61</v>
      </c>
      <c r="E1284" s="4">
        <v>8</v>
      </c>
      <c r="F1284" s="8">
        <v>4.88</v>
      </c>
      <c r="G1284" s="4">
        <v>3</v>
      </c>
      <c r="H1284" s="8">
        <v>1.19</v>
      </c>
      <c r="I1284" s="4">
        <v>0</v>
      </c>
    </row>
    <row r="1285" spans="1:9" x14ac:dyDescent="0.2">
      <c r="A1285" s="2">
        <v>12</v>
      </c>
      <c r="B1285" s="1" t="s">
        <v>113</v>
      </c>
      <c r="C1285" s="4">
        <v>11</v>
      </c>
      <c r="D1285" s="8">
        <v>2.61</v>
      </c>
      <c r="E1285" s="4">
        <v>9</v>
      </c>
      <c r="F1285" s="8">
        <v>5.49</v>
      </c>
      <c r="G1285" s="4">
        <v>2</v>
      </c>
      <c r="H1285" s="8">
        <v>0.79</v>
      </c>
      <c r="I1285" s="4">
        <v>0</v>
      </c>
    </row>
    <row r="1286" spans="1:9" x14ac:dyDescent="0.2">
      <c r="A1286" s="2">
        <v>12</v>
      </c>
      <c r="B1286" s="1" t="s">
        <v>116</v>
      </c>
      <c r="C1286" s="4">
        <v>11</v>
      </c>
      <c r="D1286" s="8">
        <v>2.61</v>
      </c>
      <c r="E1286" s="4">
        <v>0</v>
      </c>
      <c r="F1286" s="8">
        <v>0</v>
      </c>
      <c r="G1286" s="4">
        <v>8</v>
      </c>
      <c r="H1286" s="8">
        <v>3.17</v>
      </c>
      <c r="I1286" s="4">
        <v>0</v>
      </c>
    </row>
    <row r="1287" spans="1:9" x14ac:dyDescent="0.2">
      <c r="A1287" s="2">
        <v>16</v>
      </c>
      <c r="B1287" s="1" t="s">
        <v>102</v>
      </c>
      <c r="C1287" s="4">
        <v>10</v>
      </c>
      <c r="D1287" s="8">
        <v>2.38</v>
      </c>
      <c r="E1287" s="4">
        <v>2</v>
      </c>
      <c r="F1287" s="8">
        <v>1.22</v>
      </c>
      <c r="G1287" s="4">
        <v>8</v>
      </c>
      <c r="H1287" s="8">
        <v>3.17</v>
      </c>
      <c r="I1287" s="4">
        <v>0</v>
      </c>
    </row>
    <row r="1288" spans="1:9" x14ac:dyDescent="0.2">
      <c r="A1288" s="2">
        <v>17</v>
      </c>
      <c r="B1288" s="1" t="s">
        <v>107</v>
      </c>
      <c r="C1288" s="4">
        <v>9</v>
      </c>
      <c r="D1288" s="8">
        <v>2.14</v>
      </c>
      <c r="E1288" s="4">
        <v>2</v>
      </c>
      <c r="F1288" s="8">
        <v>1.22</v>
      </c>
      <c r="G1288" s="4">
        <v>7</v>
      </c>
      <c r="H1288" s="8">
        <v>2.78</v>
      </c>
      <c r="I1288" s="4">
        <v>0</v>
      </c>
    </row>
    <row r="1289" spans="1:9" x14ac:dyDescent="0.2">
      <c r="A1289" s="2">
        <v>18</v>
      </c>
      <c r="B1289" s="1" t="s">
        <v>100</v>
      </c>
      <c r="C1289" s="4">
        <v>8</v>
      </c>
      <c r="D1289" s="8">
        <v>1.9</v>
      </c>
      <c r="E1289" s="4">
        <v>1</v>
      </c>
      <c r="F1289" s="8">
        <v>0.61</v>
      </c>
      <c r="G1289" s="4">
        <v>7</v>
      </c>
      <c r="H1289" s="8">
        <v>2.78</v>
      </c>
      <c r="I1289" s="4">
        <v>0</v>
      </c>
    </row>
    <row r="1290" spans="1:9" x14ac:dyDescent="0.2">
      <c r="A1290" s="2">
        <v>18</v>
      </c>
      <c r="B1290" s="1" t="s">
        <v>109</v>
      </c>
      <c r="C1290" s="4">
        <v>8</v>
      </c>
      <c r="D1290" s="8">
        <v>1.9</v>
      </c>
      <c r="E1290" s="4">
        <v>5</v>
      </c>
      <c r="F1290" s="8">
        <v>3.05</v>
      </c>
      <c r="G1290" s="4">
        <v>3</v>
      </c>
      <c r="H1290" s="8">
        <v>1.19</v>
      </c>
      <c r="I1290" s="4">
        <v>0</v>
      </c>
    </row>
    <row r="1291" spans="1:9" x14ac:dyDescent="0.2">
      <c r="A1291" s="2">
        <v>20</v>
      </c>
      <c r="B1291" s="1" t="s">
        <v>127</v>
      </c>
      <c r="C1291" s="4">
        <v>7</v>
      </c>
      <c r="D1291" s="8">
        <v>1.66</v>
      </c>
      <c r="E1291" s="4">
        <v>3</v>
      </c>
      <c r="F1291" s="8">
        <v>1.83</v>
      </c>
      <c r="G1291" s="4">
        <v>4</v>
      </c>
      <c r="H1291" s="8">
        <v>1.59</v>
      </c>
      <c r="I1291" s="4">
        <v>0</v>
      </c>
    </row>
    <row r="1292" spans="1:9" x14ac:dyDescent="0.2">
      <c r="A1292" s="2">
        <v>20</v>
      </c>
      <c r="B1292" s="1" t="s">
        <v>115</v>
      </c>
      <c r="C1292" s="4">
        <v>7</v>
      </c>
      <c r="D1292" s="8">
        <v>1.66</v>
      </c>
      <c r="E1292" s="4">
        <v>4</v>
      </c>
      <c r="F1292" s="8">
        <v>2.44</v>
      </c>
      <c r="G1292" s="4">
        <v>3</v>
      </c>
      <c r="H1292" s="8">
        <v>1.19</v>
      </c>
      <c r="I1292" s="4">
        <v>0</v>
      </c>
    </row>
    <row r="1293" spans="1:9" x14ac:dyDescent="0.2">
      <c r="A1293" s="1"/>
      <c r="C1293" s="4"/>
      <c r="D1293" s="8"/>
      <c r="E1293" s="4"/>
      <c r="F1293" s="8"/>
      <c r="G1293" s="4"/>
      <c r="H1293" s="8"/>
      <c r="I1293" s="4"/>
    </row>
    <row r="1294" spans="1:9" x14ac:dyDescent="0.2">
      <c r="A1294" s="1" t="s">
        <v>58</v>
      </c>
      <c r="C1294" s="4"/>
      <c r="D1294" s="8"/>
      <c r="E1294" s="4"/>
      <c r="F1294" s="8"/>
      <c r="G1294" s="4"/>
      <c r="H1294" s="8"/>
      <c r="I1294" s="4"/>
    </row>
    <row r="1295" spans="1:9" x14ac:dyDescent="0.2">
      <c r="A1295" s="2">
        <v>1</v>
      </c>
      <c r="B1295" s="1" t="s">
        <v>110</v>
      </c>
      <c r="C1295" s="4">
        <v>72</v>
      </c>
      <c r="D1295" s="8">
        <v>12.46</v>
      </c>
      <c r="E1295" s="4">
        <v>67</v>
      </c>
      <c r="F1295" s="8">
        <v>19.14</v>
      </c>
      <c r="G1295" s="4">
        <v>5</v>
      </c>
      <c r="H1295" s="8">
        <v>2.2799999999999998</v>
      </c>
      <c r="I1295" s="4">
        <v>0</v>
      </c>
    </row>
    <row r="1296" spans="1:9" x14ac:dyDescent="0.2">
      <c r="A1296" s="2">
        <v>2</v>
      </c>
      <c r="B1296" s="1" t="s">
        <v>111</v>
      </c>
      <c r="C1296" s="4">
        <v>70</v>
      </c>
      <c r="D1296" s="8">
        <v>12.11</v>
      </c>
      <c r="E1296" s="4">
        <v>59</v>
      </c>
      <c r="F1296" s="8">
        <v>16.86</v>
      </c>
      <c r="G1296" s="4">
        <v>11</v>
      </c>
      <c r="H1296" s="8">
        <v>5.0199999999999996</v>
      </c>
      <c r="I1296" s="4">
        <v>0</v>
      </c>
    </row>
    <row r="1297" spans="1:9" x14ac:dyDescent="0.2">
      <c r="A1297" s="2">
        <v>3</v>
      </c>
      <c r="B1297" s="1" t="s">
        <v>107</v>
      </c>
      <c r="C1297" s="4">
        <v>43</v>
      </c>
      <c r="D1297" s="8">
        <v>7.44</v>
      </c>
      <c r="E1297" s="4">
        <v>30</v>
      </c>
      <c r="F1297" s="8">
        <v>8.57</v>
      </c>
      <c r="G1297" s="4">
        <v>13</v>
      </c>
      <c r="H1297" s="8">
        <v>5.94</v>
      </c>
      <c r="I1297" s="4">
        <v>0</v>
      </c>
    </row>
    <row r="1298" spans="1:9" x14ac:dyDescent="0.2">
      <c r="A1298" s="2">
        <v>3</v>
      </c>
      <c r="B1298" s="1" t="s">
        <v>112</v>
      </c>
      <c r="C1298" s="4">
        <v>43</v>
      </c>
      <c r="D1298" s="8">
        <v>7.44</v>
      </c>
      <c r="E1298" s="4">
        <v>31</v>
      </c>
      <c r="F1298" s="8">
        <v>8.86</v>
      </c>
      <c r="G1298" s="4">
        <v>4</v>
      </c>
      <c r="H1298" s="8">
        <v>1.83</v>
      </c>
      <c r="I1298" s="4">
        <v>0</v>
      </c>
    </row>
    <row r="1299" spans="1:9" x14ac:dyDescent="0.2">
      <c r="A1299" s="2">
        <v>5</v>
      </c>
      <c r="B1299" s="1" t="s">
        <v>105</v>
      </c>
      <c r="C1299" s="4">
        <v>32</v>
      </c>
      <c r="D1299" s="8">
        <v>5.54</v>
      </c>
      <c r="E1299" s="4">
        <v>14</v>
      </c>
      <c r="F1299" s="8">
        <v>4</v>
      </c>
      <c r="G1299" s="4">
        <v>18</v>
      </c>
      <c r="H1299" s="8">
        <v>8.2200000000000006</v>
      </c>
      <c r="I1299" s="4">
        <v>0</v>
      </c>
    </row>
    <row r="1300" spans="1:9" x14ac:dyDescent="0.2">
      <c r="A1300" s="2">
        <v>6</v>
      </c>
      <c r="B1300" s="1" t="s">
        <v>113</v>
      </c>
      <c r="C1300" s="4">
        <v>25</v>
      </c>
      <c r="D1300" s="8">
        <v>4.33</v>
      </c>
      <c r="E1300" s="4">
        <v>24</v>
      </c>
      <c r="F1300" s="8">
        <v>6.86</v>
      </c>
      <c r="G1300" s="4">
        <v>1</v>
      </c>
      <c r="H1300" s="8">
        <v>0.46</v>
      </c>
      <c r="I1300" s="4">
        <v>0</v>
      </c>
    </row>
    <row r="1301" spans="1:9" x14ac:dyDescent="0.2">
      <c r="A1301" s="2">
        <v>7</v>
      </c>
      <c r="B1301" s="1" t="s">
        <v>95</v>
      </c>
      <c r="C1301" s="4">
        <v>20</v>
      </c>
      <c r="D1301" s="8">
        <v>3.46</v>
      </c>
      <c r="E1301" s="4">
        <v>11</v>
      </c>
      <c r="F1301" s="8">
        <v>3.14</v>
      </c>
      <c r="G1301" s="4">
        <v>9</v>
      </c>
      <c r="H1301" s="8">
        <v>4.1100000000000003</v>
      </c>
      <c r="I1301" s="4">
        <v>0</v>
      </c>
    </row>
    <row r="1302" spans="1:9" x14ac:dyDescent="0.2">
      <c r="A1302" s="2">
        <v>8</v>
      </c>
      <c r="B1302" s="1" t="s">
        <v>94</v>
      </c>
      <c r="C1302" s="4">
        <v>19</v>
      </c>
      <c r="D1302" s="8">
        <v>3.29</v>
      </c>
      <c r="E1302" s="4">
        <v>2</v>
      </c>
      <c r="F1302" s="8">
        <v>0.56999999999999995</v>
      </c>
      <c r="G1302" s="4">
        <v>17</v>
      </c>
      <c r="H1302" s="8">
        <v>7.76</v>
      </c>
      <c r="I1302" s="4">
        <v>0</v>
      </c>
    </row>
    <row r="1303" spans="1:9" x14ac:dyDescent="0.2">
      <c r="A1303" s="2">
        <v>9</v>
      </c>
      <c r="B1303" s="1" t="s">
        <v>102</v>
      </c>
      <c r="C1303" s="4">
        <v>18</v>
      </c>
      <c r="D1303" s="8">
        <v>3.11</v>
      </c>
      <c r="E1303" s="4">
        <v>5</v>
      </c>
      <c r="F1303" s="8">
        <v>1.43</v>
      </c>
      <c r="G1303" s="4">
        <v>13</v>
      </c>
      <c r="H1303" s="8">
        <v>5.94</v>
      </c>
      <c r="I1303" s="4">
        <v>0</v>
      </c>
    </row>
    <row r="1304" spans="1:9" x14ac:dyDescent="0.2">
      <c r="A1304" s="2">
        <v>9</v>
      </c>
      <c r="B1304" s="1" t="s">
        <v>104</v>
      </c>
      <c r="C1304" s="4">
        <v>18</v>
      </c>
      <c r="D1304" s="8">
        <v>3.11</v>
      </c>
      <c r="E1304" s="4">
        <v>9</v>
      </c>
      <c r="F1304" s="8">
        <v>2.57</v>
      </c>
      <c r="G1304" s="4">
        <v>9</v>
      </c>
      <c r="H1304" s="8">
        <v>4.1100000000000003</v>
      </c>
      <c r="I1304" s="4">
        <v>0</v>
      </c>
    </row>
    <row r="1305" spans="1:9" x14ac:dyDescent="0.2">
      <c r="A1305" s="2">
        <v>11</v>
      </c>
      <c r="B1305" s="1" t="s">
        <v>97</v>
      </c>
      <c r="C1305" s="4">
        <v>16</v>
      </c>
      <c r="D1305" s="8">
        <v>2.77</v>
      </c>
      <c r="E1305" s="4">
        <v>6</v>
      </c>
      <c r="F1305" s="8">
        <v>1.71</v>
      </c>
      <c r="G1305" s="4">
        <v>10</v>
      </c>
      <c r="H1305" s="8">
        <v>4.57</v>
      </c>
      <c r="I1305" s="4">
        <v>0</v>
      </c>
    </row>
    <row r="1306" spans="1:9" x14ac:dyDescent="0.2">
      <c r="A1306" s="2">
        <v>11</v>
      </c>
      <c r="B1306" s="1" t="s">
        <v>115</v>
      </c>
      <c r="C1306" s="4">
        <v>16</v>
      </c>
      <c r="D1306" s="8">
        <v>2.77</v>
      </c>
      <c r="E1306" s="4">
        <v>10</v>
      </c>
      <c r="F1306" s="8">
        <v>2.86</v>
      </c>
      <c r="G1306" s="4">
        <v>6</v>
      </c>
      <c r="H1306" s="8">
        <v>2.74</v>
      </c>
      <c r="I1306" s="4">
        <v>0</v>
      </c>
    </row>
    <row r="1307" spans="1:9" x14ac:dyDescent="0.2">
      <c r="A1307" s="2">
        <v>13</v>
      </c>
      <c r="B1307" s="1" t="s">
        <v>103</v>
      </c>
      <c r="C1307" s="4">
        <v>15</v>
      </c>
      <c r="D1307" s="8">
        <v>2.6</v>
      </c>
      <c r="E1307" s="4">
        <v>13</v>
      </c>
      <c r="F1307" s="8">
        <v>3.71</v>
      </c>
      <c r="G1307" s="4">
        <v>2</v>
      </c>
      <c r="H1307" s="8">
        <v>0.91</v>
      </c>
      <c r="I1307" s="4">
        <v>0</v>
      </c>
    </row>
    <row r="1308" spans="1:9" x14ac:dyDescent="0.2">
      <c r="A1308" s="2">
        <v>13</v>
      </c>
      <c r="B1308" s="1" t="s">
        <v>109</v>
      </c>
      <c r="C1308" s="4">
        <v>15</v>
      </c>
      <c r="D1308" s="8">
        <v>2.6</v>
      </c>
      <c r="E1308" s="4">
        <v>10</v>
      </c>
      <c r="F1308" s="8">
        <v>2.86</v>
      </c>
      <c r="G1308" s="4">
        <v>5</v>
      </c>
      <c r="H1308" s="8">
        <v>2.2799999999999998</v>
      </c>
      <c r="I1308" s="4">
        <v>0</v>
      </c>
    </row>
    <row r="1309" spans="1:9" x14ac:dyDescent="0.2">
      <c r="A1309" s="2">
        <v>15</v>
      </c>
      <c r="B1309" s="1" t="s">
        <v>108</v>
      </c>
      <c r="C1309" s="4">
        <v>14</v>
      </c>
      <c r="D1309" s="8">
        <v>2.42</v>
      </c>
      <c r="E1309" s="4">
        <v>12</v>
      </c>
      <c r="F1309" s="8">
        <v>3.43</v>
      </c>
      <c r="G1309" s="4">
        <v>2</v>
      </c>
      <c r="H1309" s="8">
        <v>0.91</v>
      </c>
      <c r="I1309" s="4">
        <v>0</v>
      </c>
    </row>
    <row r="1310" spans="1:9" x14ac:dyDescent="0.2">
      <c r="A1310" s="2">
        <v>16</v>
      </c>
      <c r="B1310" s="1" t="s">
        <v>98</v>
      </c>
      <c r="C1310" s="4">
        <v>12</v>
      </c>
      <c r="D1310" s="8">
        <v>2.08</v>
      </c>
      <c r="E1310" s="4">
        <v>2</v>
      </c>
      <c r="F1310" s="8">
        <v>0.56999999999999995</v>
      </c>
      <c r="G1310" s="4">
        <v>10</v>
      </c>
      <c r="H1310" s="8">
        <v>4.57</v>
      </c>
      <c r="I1310" s="4">
        <v>0</v>
      </c>
    </row>
    <row r="1311" spans="1:9" x14ac:dyDescent="0.2">
      <c r="A1311" s="2">
        <v>17</v>
      </c>
      <c r="B1311" s="1" t="s">
        <v>96</v>
      </c>
      <c r="C1311" s="4">
        <v>11</v>
      </c>
      <c r="D1311" s="8">
        <v>1.9</v>
      </c>
      <c r="E1311" s="4">
        <v>2</v>
      </c>
      <c r="F1311" s="8">
        <v>0.56999999999999995</v>
      </c>
      <c r="G1311" s="4">
        <v>9</v>
      </c>
      <c r="H1311" s="8">
        <v>4.1100000000000003</v>
      </c>
      <c r="I1311" s="4">
        <v>0</v>
      </c>
    </row>
    <row r="1312" spans="1:9" x14ac:dyDescent="0.2">
      <c r="A1312" s="2">
        <v>18</v>
      </c>
      <c r="B1312" s="1" t="s">
        <v>106</v>
      </c>
      <c r="C1312" s="4">
        <v>10</v>
      </c>
      <c r="D1312" s="8">
        <v>1.73</v>
      </c>
      <c r="E1312" s="4">
        <v>1</v>
      </c>
      <c r="F1312" s="8">
        <v>0.28999999999999998</v>
      </c>
      <c r="G1312" s="4">
        <v>9</v>
      </c>
      <c r="H1312" s="8">
        <v>4.1100000000000003</v>
      </c>
      <c r="I1312" s="4">
        <v>0</v>
      </c>
    </row>
    <row r="1313" spans="1:9" x14ac:dyDescent="0.2">
      <c r="A1313" s="2">
        <v>19</v>
      </c>
      <c r="B1313" s="1" t="s">
        <v>100</v>
      </c>
      <c r="C1313" s="4">
        <v>9</v>
      </c>
      <c r="D1313" s="8">
        <v>1.56</v>
      </c>
      <c r="E1313" s="4">
        <v>2</v>
      </c>
      <c r="F1313" s="8">
        <v>0.56999999999999995</v>
      </c>
      <c r="G1313" s="4">
        <v>7</v>
      </c>
      <c r="H1313" s="8">
        <v>3.2</v>
      </c>
      <c r="I1313" s="4">
        <v>0</v>
      </c>
    </row>
    <row r="1314" spans="1:9" x14ac:dyDescent="0.2">
      <c r="A1314" s="2">
        <v>20</v>
      </c>
      <c r="B1314" s="1" t="s">
        <v>99</v>
      </c>
      <c r="C1314" s="4">
        <v>8</v>
      </c>
      <c r="D1314" s="8">
        <v>1.38</v>
      </c>
      <c r="E1314" s="4">
        <v>2</v>
      </c>
      <c r="F1314" s="8">
        <v>0.56999999999999995</v>
      </c>
      <c r="G1314" s="4">
        <v>6</v>
      </c>
      <c r="H1314" s="8">
        <v>2.74</v>
      </c>
      <c r="I1314" s="4">
        <v>0</v>
      </c>
    </row>
    <row r="1315" spans="1:9" x14ac:dyDescent="0.2">
      <c r="A1315" s="1"/>
      <c r="C1315" s="4"/>
      <c r="D1315" s="8"/>
      <c r="E1315" s="4"/>
      <c r="F1315" s="8"/>
      <c r="G1315" s="4"/>
      <c r="H1315" s="8"/>
      <c r="I1315" s="4"/>
    </row>
    <row r="1316" spans="1:9" x14ac:dyDescent="0.2">
      <c r="A1316" s="1" t="s">
        <v>59</v>
      </c>
      <c r="C1316" s="4"/>
      <c r="D1316" s="8"/>
      <c r="E1316" s="4"/>
      <c r="F1316" s="8"/>
      <c r="G1316" s="4"/>
      <c r="H1316" s="8"/>
      <c r="I1316" s="4"/>
    </row>
    <row r="1317" spans="1:9" x14ac:dyDescent="0.2">
      <c r="A1317" s="2">
        <v>1</v>
      </c>
      <c r="B1317" s="1" t="s">
        <v>107</v>
      </c>
      <c r="C1317" s="4">
        <v>95</v>
      </c>
      <c r="D1317" s="8">
        <v>16.13</v>
      </c>
      <c r="E1317" s="4">
        <v>68</v>
      </c>
      <c r="F1317" s="8">
        <v>24.03</v>
      </c>
      <c r="G1317" s="4">
        <v>27</v>
      </c>
      <c r="H1317" s="8">
        <v>8.91</v>
      </c>
      <c r="I1317" s="4">
        <v>0</v>
      </c>
    </row>
    <row r="1318" spans="1:9" x14ac:dyDescent="0.2">
      <c r="A1318" s="2">
        <v>2</v>
      </c>
      <c r="B1318" s="1" t="s">
        <v>96</v>
      </c>
      <c r="C1318" s="4">
        <v>44</v>
      </c>
      <c r="D1318" s="8">
        <v>7.47</v>
      </c>
      <c r="E1318" s="4">
        <v>1</v>
      </c>
      <c r="F1318" s="8">
        <v>0.35</v>
      </c>
      <c r="G1318" s="4">
        <v>43</v>
      </c>
      <c r="H1318" s="8">
        <v>14.19</v>
      </c>
      <c r="I1318" s="4">
        <v>0</v>
      </c>
    </row>
    <row r="1319" spans="1:9" x14ac:dyDescent="0.2">
      <c r="A1319" s="2">
        <v>2</v>
      </c>
      <c r="B1319" s="1" t="s">
        <v>110</v>
      </c>
      <c r="C1319" s="4">
        <v>44</v>
      </c>
      <c r="D1319" s="8">
        <v>7.47</v>
      </c>
      <c r="E1319" s="4">
        <v>41</v>
      </c>
      <c r="F1319" s="8">
        <v>14.49</v>
      </c>
      <c r="G1319" s="4">
        <v>3</v>
      </c>
      <c r="H1319" s="8">
        <v>0.99</v>
      </c>
      <c r="I1319" s="4">
        <v>0</v>
      </c>
    </row>
    <row r="1320" spans="1:9" x14ac:dyDescent="0.2">
      <c r="A1320" s="2">
        <v>2</v>
      </c>
      <c r="B1320" s="1" t="s">
        <v>111</v>
      </c>
      <c r="C1320" s="4">
        <v>44</v>
      </c>
      <c r="D1320" s="8">
        <v>7.47</v>
      </c>
      <c r="E1320" s="4">
        <v>36</v>
      </c>
      <c r="F1320" s="8">
        <v>12.72</v>
      </c>
      <c r="G1320" s="4">
        <v>8</v>
      </c>
      <c r="H1320" s="8">
        <v>2.64</v>
      </c>
      <c r="I1320" s="4">
        <v>0</v>
      </c>
    </row>
    <row r="1321" spans="1:9" x14ac:dyDescent="0.2">
      <c r="A1321" s="2">
        <v>5</v>
      </c>
      <c r="B1321" s="1" t="s">
        <v>95</v>
      </c>
      <c r="C1321" s="4">
        <v>41</v>
      </c>
      <c r="D1321" s="8">
        <v>6.96</v>
      </c>
      <c r="E1321" s="4">
        <v>6</v>
      </c>
      <c r="F1321" s="8">
        <v>2.12</v>
      </c>
      <c r="G1321" s="4">
        <v>35</v>
      </c>
      <c r="H1321" s="8">
        <v>11.55</v>
      </c>
      <c r="I1321" s="4">
        <v>0</v>
      </c>
    </row>
    <row r="1322" spans="1:9" x14ac:dyDescent="0.2">
      <c r="A1322" s="2">
        <v>6</v>
      </c>
      <c r="B1322" s="1" t="s">
        <v>94</v>
      </c>
      <c r="C1322" s="4">
        <v>32</v>
      </c>
      <c r="D1322" s="8">
        <v>5.43</v>
      </c>
      <c r="E1322" s="4">
        <v>7</v>
      </c>
      <c r="F1322" s="8">
        <v>2.4700000000000002</v>
      </c>
      <c r="G1322" s="4">
        <v>25</v>
      </c>
      <c r="H1322" s="8">
        <v>8.25</v>
      </c>
      <c r="I1322" s="4">
        <v>0</v>
      </c>
    </row>
    <row r="1323" spans="1:9" x14ac:dyDescent="0.2">
      <c r="A1323" s="2">
        <v>7</v>
      </c>
      <c r="B1323" s="1" t="s">
        <v>112</v>
      </c>
      <c r="C1323" s="4">
        <v>28</v>
      </c>
      <c r="D1323" s="8">
        <v>4.75</v>
      </c>
      <c r="E1323" s="4">
        <v>20</v>
      </c>
      <c r="F1323" s="8">
        <v>7.07</v>
      </c>
      <c r="G1323" s="4">
        <v>5</v>
      </c>
      <c r="H1323" s="8">
        <v>1.65</v>
      </c>
      <c r="I1323" s="4">
        <v>2</v>
      </c>
    </row>
    <row r="1324" spans="1:9" x14ac:dyDescent="0.2">
      <c r="A1324" s="2">
        <v>8</v>
      </c>
      <c r="B1324" s="1" t="s">
        <v>105</v>
      </c>
      <c r="C1324" s="4">
        <v>22</v>
      </c>
      <c r="D1324" s="8">
        <v>3.74</v>
      </c>
      <c r="E1324" s="4">
        <v>15</v>
      </c>
      <c r="F1324" s="8">
        <v>5.3</v>
      </c>
      <c r="G1324" s="4">
        <v>7</v>
      </c>
      <c r="H1324" s="8">
        <v>2.31</v>
      </c>
      <c r="I1324" s="4">
        <v>0</v>
      </c>
    </row>
    <row r="1325" spans="1:9" x14ac:dyDescent="0.2">
      <c r="A1325" s="2">
        <v>9</v>
      </c>
      <c r="B1325" s="1" t="s">
        <v>98</v>
      </c>
      <c r="C1325" s="4">
        <v>13</v>
      </c>
      <c r="D1325" s="8">
        <v>2.21</v>
      </c>
      <c r="E1325" s="4">
        <v>3</v>
      </c>
      <c r="F1325" s="8">
        <v>1.06</v>
      </c>
      <c r="G1325" s="4">
        <v>10</v>
      </c>
      <c r="H1325" s="8">
        <v>3.3</v>
      </c>
      <c r="I1325" s="4">
        <v>0</v>
      </c>
    </row>
    <row r="1326" spans="1:9" x14ac:dyDescent="0.2">
      <c r="A1326" s="2">
        <v>9</v>
      </c>
      <c r="B1326" s="1" t="s">
        <v>100</v>
      </c>
      <c r="C1326" s="4">
        <v>13</v>
      </c>
      <c r="D1326" s="8">
        <v>2.21</v>
      </c>
      <c r="E1326" s="4">
        <v>1</v>
      </c>
      <c r="F1326" s="8">
        <v>0.35</v>
      </c>
      <c r="G1326" s="4">
        <v>12</v>
      </c>
      <c r="H1326" s="8">
        <v>3.96</v>
      </c>
      <c r="I1326" s="4">
        <v>0</v>
      </c>
    </row>
    <row r="1327" spans="1:9" x14ac:dyDescent="0.2">
      <c r="A1327" s="2">
        <v>9</v>
      </c>
      <c r="B1327" s="1" t="s">
        <v>104</v>
      </c>
      <c r="C1327" s="4">
        <v>13</v>
      </c>
      <c r="D1327" s="8">
        <v>2.21</v>
      </c>
      <c r="E1327" s="4">
        <v>10</v>
      </c>
      <c r="F1327" s="8">
        <v>3.53</v>
      </c>
      <c r="G1327" s="4">
        <v>3</v>
      </c>
      <c r="H1327" s="8">
        <v>0.99</v>
      </c>
      <c r="I1327" s="4">
        <v>0</v>
      </c>
    </row>
    <row r="1328" spans="1:9" x14ac:dyDescent="0.2">
      <c r="A1328" s="2">
        <v>12</v>
      </c>
      <c r="B1328" s="1" t="s">
        <v>97</v>
      </c>
      <c r="C1328" s="4">
        <v>12</v>
      </c>
      <c r="D1328" s="8">
        <v>2.04</v>
      </c>
      <c r="E1328" s="4">
        <v>6</v>
      </c>
      <c r="F1328" s="8">
        <v>2.12</v>
      </c>
      <c r="G1328" s="4">
        <v>6</v>
      </c>
      <c r="H1328" s="8">
        <v>1.98</v>
      </c>
      <c r="I1328" s="4">
        <v>0</v>
      </c>
    </row>
    <row r="1329" spans="1:9" x14ac:dyDescent="0.2">
      <c r="A1329" s="2">
        <v>12</v>
      </c>
      <c r="B1329" s="1" t="s">
        <v>101</v>
      </c>
      <c r="C1329" s="4">
        <v>12</v>
      </c>
      <c r="D1329" s="8">
        <v>2.04</v>
      </c>
      <c r="E1329" s="4">
        <v>2</v>
      </c>
      <c r="F1329" s="8">
        <v>0.71</v>
      </c>
      <c r="G1329" s="4">
        <v>10</v>
      </c>
      <c r="H1329" s="8">
        <v>3.3</v>
      </c>
      <c r="I1329" s="4">
        <v>0</v>
      </c>
    </row>
    <row r="1330" spans="1:9" x14ac:dyDescent="0.2">
      <c r="A1330" s="2">
        <v>14</v>
      </c>
      <c r="B1330" s="1" t="s">
        <v>125</v>
      </c>
      <c r="C1330" s="4">
        <v>10</v>
      </c>
      <c r="D1330" s="8">
        <v>1.7</v>
      </c>
      <c r="E1330" s="4">
        <v>6</v>
      </c>
      <c r="F1330" s="8">
        <v>2.12</v>
      </c>
      <c r="G1330" s="4">
        <v>4</v>
      </c>
      <c r="H1330" s="8">
        <v>1.32</v>
      </c>
      <c r="I1330" s="4">
        <v>0</v>
      </c>
    </row>
    <row r="1331" spans="1:9" x14ac:dyDescent="0.2">
      <c r="A1331" s="2">
        <v>14</v>
      </c>
      <c r="B1331" s="1" t="s">
        <v>108</v>
      </c>
      <c r="C1331" s="4">
        <v>10</v>
      </c>
      <c r="D1331" s="8">
        <v>1.7</v>
      </c>
      <c r="E1331" s="4">
        <v>5</v>
      </c>
      <c r="F1331" s="8">
        <v>1.77</v>
      </c>
      <c r="G1331" s="4">
        <v>5</v>
      </c>
      <c r="H1331" s="8">
        <v>1.65</v>
      </c>
      <c r="I1331" s="4">
        <v>0</v>
      </c>
    </row>
    <row r="1332" spans="1:9" x14ac:dyDescent="0.2">
      <c r="A1332" s="2">
        <v>16</v>
      </c>
      <c r="B1332" s="1" t="s">
        <v>103</v>
      </c>
      <c r="C1332" s="4">
        <v>9</v>
      </c>
      <c r="D1332" s="8">
        <v>1.53</v>
      </c>
      <c r="E1332" s="4">
        <v>6</v>
      </c>
      <c r="F1332" s="8">
        <v>2.12</v>
      </c>
      <c r="G1332" s="4">
        <v>3</v>
      </c>
      <c r="H1332" s="8">
        <v>0.99</v>
      </c>
      <c r="I1332" s="4">
        <v>0</v>
      </c>
    </row>
    <row r="1333" spans="1:9" x14ac:dyDescent="0.2">
      <c r="A1333" s="2">
        <v>16</v>
      </c>
      <c r="B1333" s="1" t="s">
        <v>106</v>
      </c>
      <c r="C1333" s="4">
        <v>9</v>
      </c>
      <c r="D1333" s="8">
        <v>1.53</v>
      </c>
      <c r="E1333" s="4">
        <v>3</v>
      </c>
      <c r="F1333" s="8">
        <v>1.06</v>
      </c>
      <c r="G1333" s="4">
        <v>6</v>
      </c>
      <c r="H1333" s="8">
        <v>1.98</v>
      </c>
      <c r="I1333" s="4">
        <v>0</v>
      </c>
    </row>
    <row r="1334" spans="1:9" x14ac:dyDescent="0.2">
      <c r="A1334" s="2">
        <v>16</v>
      </c>
      <c r="B1334" s="1" t="s">
        <v>122</v>
      </c>
      <c r="C1334" s="4">
        <v>9</v>
      </c>
      <c r="D1334" s="8">
        <v>1.53</v>
      </c>
      <c r="E1334" s="4">
        <v>6</v>
      </c>
      <c r="F1334" s="8">
        <v>2.12</v>
      </c>
      <c r="G1334" s="4">
        <v>3</v>
      </c>
      <c r="H1334" s="8">
        <v>0.99</v>
      </c>
      <c r="I1334" s="4">
        <v>0</v>
      </c>
    </row>
    <row r="1335" spans="1:9" x14ac:dyDescent="0.2">
      <c r="A1335" s="2">
        <v>19</v>
      </c>
      <c r="B1335" s="1" t="s">
        <v>99</v>
      </c>
      <c r="C1335" s="4">
        <v>8</v>
      </c>
      <c r="D1335" s="8">
        <v>1.36</v>
      </c>
      <c r="E1335" s="4">
        <v>1</v>
      </c>
      <c r="F1335" s="8">
        <v>0.35</v>
      </c>
      <c r="G1335" s="4">
        <v>7</v>
      </c>
      <c r="H1335" s="8">
        <v>2.31</v>
      </c>
      <c r="I1335" s="4">
        <v>0</v>
      </c>
    </row>
    <row r="1336" spans="1:9" x14ac:dyDescent="0.2">
      <c r="A1336" s="2">
        <v>19</v>
      </c>
      <c r="B1336" s="1" t="s">
        <v>109</v>
      </c>
      <c r="C1336" s="4">
        <v>8</v>
      </c>
      <c r="D1336" s="8">
        <v>1.36</v>
      </c>
      <c r="E1336" s="4">
        <v>3</v>
      </c>
      <c r="F1336" s="8">
        <v>1.06</v>
      </c>
      <c r="G1336" s="4">
        <v>5</v>
      </c>
      <c r="H1336" s="8">
        <v>1.65</v>
      </c>
      <c r="I1336" s="4">
        <v>0</v>
      </c>
    </row>
    <row r="1337" spans="1:9" x14ac:dyDescent="0.2">
      <c r="A1337" s="2">
        <v>19</v>
      </c>
      <c r="B1337" s="1" t="s">
        <v>113</v>
      </c>
      <c r="C1337" s="4">
        <v>8</v>
      </c>
      <c r="D1337" s="8">
        <v>1.36</v>
      </c>
      <c r="E1337" s="4">
        <v>7</v>
      </c>
      <c r="F1337" s="8">
        <v>2.4700000000000002</v>
      </c>
      <c r="G1337" s="4">
        <v>1</v>
      </c>
      <c r="H1337" s="8">
        <v>0.33</v>
      </c>
      <c r="I1337" s="4">
        <v>0</v>
      </c>
    </row>
    <row r="1338" spans="1:9" x14ac:dyDescent="0.2">
      <c r="A1338" s="1"/>
      <c r="C1338" s="4"/>
      <c r="D1338" s="8"/>
      <c r="E1338" s="4"/>
      <c r="F1338" s="8"/>
      <c r="G1338" s="4"/>
      <c r="H1338" s="8"/>
      <c r="I1338" s="4"/>
    </row>
    <row r="1339" spans="1:9" x14ac:dyDescent="0.2">
      <c r="A1339" s="1" t="s">
        <v>60</v>
      </c>
      <c r="C1339" s="4"/>
      <c r="D1339" s="8"/>
      <c r="E1339" s="4"/>
      <c r="F1339" s="8"/>
      <c r="G1339" s="4"/>
      <c r="H1339" s="8"/>
      <c r="I1339" s="4"/>
    </row>
    <row r="1340" spans="1:9" x14ac:dyDescent="0.2">
      <c r="A1340" s="2">
        <v>1</v>
      </c>
      <c r="B1340" s="1" t="s">
        <v>110</v>
      </c>
      <c r="C1340" s="4">
        <v>108</v>
      </c>
      <c r="D1340" s="8">
        <v>12.56</v>
      </c>
      <c r="E1340" s="4">
        <v>95</v>
      </c>
      <c r="F1340" s="8">
        <v>22.89</v>
      </c>
      <c r="G1340" s="4">
        <v>13</v>
      </c>
      <c r="H1340" s="8">
        <v>3.02</v>
      </c>
      <c r="I1340" s="4">
        <v>0</v>
      </c>
    </row>
    <row r="1341" spans="1:9" x14ac:dyDescent="0.2">
      <c r="A1341" s="2">
        <v>2</v>
      </c>
      <c r="B1341" s="1" t="s">
        <v>111</v>
      </c>
      <c r="C1341" s="4">
        <v>81</v>
      </c>
      <c r="D1341" s="8">
        <v>9.42</v>
      </c>
      <c r="E1341" s="4">
        <v>63</v>
      </c>
      <c r="F1341" s="8">
        <v>15.18</v>
      </c>
      <c r="G1341" s="4">
        <v>18</v>
      </c>
      <c r="H1341" s="8">
        <v>4.1900000000000004</v>
      </c>
      <c r="I1341" s="4">
        <v>0</v>
      </c>
    </row>
    <row r="1342" spans="1:9" x14ac:dyDescent="0.2">
      <c r="A1342" s="2">
        <v>3</v>
      </c>
      <c r="B1342" s="1" t="s">
        <v>107</v>
      </c>
      <c r="C1342" s="4">
        <v>59</v>
      </c>
      <c r="D1342" s="8">
        <v>6.86</v>
      </c>
      <c r="E1342" s="4">
        <v>20</v>
      </c>
      <c r="F1342" s="8">
        <v>4.82</v>
      </c>
      <c r="G1342" s="4">
        <v>39</v>
      </c>
      <c r="H1342" s="8">
        <v>9.07</v>
      </c>
      <c r="I1342" s="4">
        <v>0</v>
      </c>
    </row>
    <row r="1343" spans="1:9" x14ac:dyDescent="0.2">
      <c r="A1343" s="2">
        <v>4</v>
      </c>
      <c r="B1343" s="1" t="s">
        <v>94</v>
      </c>
      <c r="C1343" s="4">
        <v>58</v>
      </c>
      <c r="D1343" s="8">
        <v>6.74</v>
      </c>
      <c r="E1343" s="4">
        <v>6</v>
      </c>
      <c r="F1343" s="8">
        <v>1.45</v>
      </c>
      <c r="G1343" s="4">
        <v>52</v>
      </c>
      <c r="H1343" s="8">
        <v>12.09</v>
      </c>
      <c r="I1343" s="4">
        <v>0</v>
      </c>
    </row>
    <row r="1344" spans="1:9" x14ac:dyDescent="0.2">
      <c r="A1344" s="2">
        <v>5</v>
      </c>
      <c r="B1344" s="1" t="s">
        <v>105</v>
      </c>
      <c r="C1344" s="4">
        <v>47</v>
      </c>
      <c r="D1344" s="8">
        <v>5.47</v>
      </c>
      <c r="E1344" s="4">
        <v>28</v>
      </c>
      <c r="F1344" s="8">
        <v>6.75</v>
      </c>
      <c r="G1344" s="4">
        <v>19</v>
      </c>
      <c r="H1344" s="8">
        <v>4.42</v>
      </c>
      <c r="I1344" s="4">
        <v>0</v>
      </c>
    </row>
    <row r="1345" spans="1:9" x14ac:dyDescent="0.2">
      <c r="A1345" s="2">
        <v>6</v>
      </c>
      <c r="B1345" s="1" t="s">
        <v>112</v>
      </c>
      <c r="C1345" s="4">
        <v>46</v>
      </c>
      <c r="D1345" s="8">
        <v>5.35</v>
      </c>
      <c r="E1345" s="4">
        <v>29</v>
      </c>
      <c r="F1345" s="8">
        <v>6.99</v>
      </c>
      <c r="G1345" s="4">
        <v>14</v>
      </c>
      <c r="H1345" s="8">
        <v>3.26</v>
      </c>
      <c r="I1345" s="4">
        <v>0</v>
      </c>
    </row>
    <row r="1346" spans="1:9" x14ac:dyDescent="0.2">
      <c r="A1346" s="2">
        <v>7</v>
      </c>
      <c r="B1346" s="1" t="s">
        <v>113</v>
      </c>
      <c r="C1346" s="4">
        <v>34</v>
      </c>
      <c r="D1346" s="8">
        <v>3.95</v>
      </c>
      <c r="E1346" s="4">
        <v>33</v>
      </c>
      <c r="F1346" s="8">
        <v>7.95</v>
      </c>
      <c r="G1346" s="4">
        <v>1</v>
      </c>
      <c r="H1346" s="8">
        <v>0.23</v>
      </c>
      <c r="I1346" s="4">
        <v>0</v>
      </c>
    </row>
    <row r="1347" spans="1:9" x14ac:dyDescent="0.2">
      <c r="A1347" s="2">
        <v>8</v>
      </c>
      <c r="B1347" s="1" t="s">
        <v>95</v>
      </c>
      <c r="C1347" s="4">
        <v>31</v>
      </c>
      <c r="D1347" s="8">
        <v>3.6</v>
      </c>
      <c r="E1347" s="4">
        <v>10</v>
      </c>
      <c r="F1347" s="8">
        <v>2.41</v>
      </c>
      <c r="G1347" s="4">
        <v>21</v>
      </c>
      <c r="H1347" s="8">
        <v>4.88</v>
      </c>
      <c r="I1347" s="4">
        <v>0</v>
      </c>
    </row>
    <row r="1348" spans="1:9" x14ac:dyDescent="0.2">
      <c r="A1348" s="2">
        <v>8</v>
      </c>
      <c r="B1348" s="1" t="s">
        <v>96</v>
      </c>
      <c r="C1348" s="4">
        <v>31</v>
      </c>
      <c r="D1348" s="8">
        <v>3.6</v>
      </c>
      <c r="E1348" s="4">
        <v>5</v>
      </c>
      <c r="F1348" s="8">
        <v>1.2</v>
      </c>
      <c r="G1348" s="4">
        <v>26</v>
      </c>
      <c r="H1348" s="8">
        <v>6.05</v>
      </c>
      <c r="I1348" s="4">
        <v>0</v>
      </c>
    </row>
    <row r="1349" spans="1:9" x14ac:dyDescent="0.2">
      <c r="A1349" s="2">
        <v>10</v>
      </c>
      <c r="B1349" s="1" t="s">
        <v>108</v>
      </c>
      <c r="C1349" s="4">
        <v>27</v>
      </c>
      <c r="D1349" s="8">
        <v>3.14</v>
      </c>
      <c r="E1349" s="4">
        <v>20</v>
      </c>
      <c r="F1349" s="8">
        <v>4.82</v>
      </c>
      <c r="G1349" s="4">
        <v>7</v>
      </c>
      <c r="H1349" s="8">
        <v>1.63</v>
      </c>
      <c r="I1349" s="4">
        <v>0</v>
      </c>
    </row>
    <row r="1350" spans="1:9" x14ac:dyDescent="0.2">
      <c r="A1350" s="2">
        <v>11</v>
      </c>
      <c r="B1350" s="1" t="s">
        <v>102</v>
      </c>
      <c r="C1350" s="4">
        <v>24</v>
      </c>
      <c r="D1350" s="8">
        <v>2.79</v>
      </c>
      <c r="E1350" s="4">
        <v>10</v>
      </c>
      <c r="F1350" s="8">
        <v>2.41</v>
      </c>
      <c r="G1350" s="4">
        <v>14</v>
      </c>
      <c r="H1350" s="8">
        <v>3.26</v>
      </c>
      <c r="I1350" s="4">
        <v>0</v>
      </c>
    </row>
    <row r="1351" spans="1:9" x14ac:dyDescent="0.2">
      <c r="A1351" s="2">
        <v>12</v>
      </c>
      <c r="B1351" s="1" t="s">
        <v>103</v>
      </c>
      <c r="C1351" s="4">
        <v>23</v>
      </c>
      <c r="D1351" s="8">
        <v>2.67</v>
      </c>
      <c r="E1351" s="4">
        <v>18</v>
      </c>
      <c r="F1351" s="8">
        <v>4.34</v>
      </c>
      <c r="G1351" s="4">
        <v>5</v>
      </c>
      <c r="H1351" s="8">
        <v>1.1599999999999999</v>
      </c>
      <c r="I1351" s="4">
        <v>0</v>
      </c>
    </row>
    <row r="1352" spans="1:9" x14ac:dyDescent="0.2">
      <c r="A1352" s="2">
        <v>13</v>
      </c>
      <c r="B1352" s="1" t="s">
        <v>104</v>
      </c>
      <c r="C1352" s="4">
        <v>22</v>
      </c>
      <c r="D1352" s="8">
        <v>2.56</v>
      </c>
      <c r="E1352" s="4">
        <v>12</v>
      </c>
      <c r="F1352" s="8">
        <v>2.89</v>
      </c>
      <c r="G1352" s="4">
        <v>10</v>
      </c>
      <c r="H1352" s="8">
        <v>2.33</v>
      </c>
      <c r="I1352" s="4">
        <v>0</v>
      </c>
    </row>
    <row r="1353" spans="1:9" x14ac:dyDescent="0.2">
      <c r="A1353" s="2">
        <v>14</v>
      </c>
      <c r="B1353" s="1" t="s">
        <v>97</v>
      </c>
      <c r="C1353" s="4">
        <v>17</v>
      </c>
      <c r="D1353" s="8">
        <v>1.98</v>
      </c>
      <c r="E1353" s="4">
        <v>4</v>
      </c>
      <c r="F1353" s="8">
        <v>0.96</v>
      </c>
      <c r="G1353" s="4">
        <v>13</v>
      </c>
      <c r="H1353" s="8">
        <v>3.02</v>
      </c>
      <c r="I1353" s="4">
        <v>0</v>
      </c>
    </row>
    <row r="1354" spans="1:9" x14ac:dyDescent="0.2">
      <c r="A1354" s="2">
        <v>15</v>
      </c>
      <c r="B1354" s="1" t="s">
        <v>99</v>
      </c>
      <c r="C1354" s="4">
        <v>16</v>
      </c>
      <c r="D1354" s="8">
        <v>1.86</v>
      </c>
      <c r="E1354" s="4">
        <v>1</v>
      </c>
      <c r="F1354" s="8">
        <v>0.24</v>
      </c>
      <c r="G1354" s="4">
        <v>15</v>
      </c>
      <c r="H1354" s="8">
        <v>3.49</v>
      </c>
      <c r="I1354" s="4">
        <v>0</v>
      </c>
    </row>
    <row r="1355" spans="1:9" x14ac:dyDescent="0.2">
      <c r="A1355" s="2">
        <v>16</v>
      </c>
      <c r="B1355" s="1" t="s">
        <v>100</v>
      </c>
      <c r="C1355" s="4">
        <v>14</v>
      </c>
      <c r="D1355" s="8">
        <v>1.63</v>
      </c>
      <c r="E1355" s="4">
        <v>2</v>
      </c>
      <c r="F1355" s="8">
        <v>0.48</v>
      </c>
      <c r="G1355" s="4">
        <v>12</v>
      </c>
      <c r="H1355" s="8">
        <v>2.79</v>
      </c>
      <c r="I1355" s="4">
        <v>0</v>
      </c>
    </row>
    <row r="1356" spans="1:9" x14ac:dyDescent="0.2">
      <c r="A1356" s="2">
        <v>16</v>
      </c>
      <c r="B1356" s="1" t="s">
        <v>115</v>
      </c>
      <c r="C1356" s="4">
        <v>14</v>
      </c>
      <c r="D1356" s="8">
        <v>1.63</v>
      </c>
      <c r="E1356" s="4">
        <v>7</v>
      </c>
      <c r="F1356" s="8">
        <v>1.69</v>
      </c>
      <c r="G1356" s="4">
        <v>7</v>
      </c>
      <c r="H1356" s="8">
        <v>1.63</v>
      </c>
      <c r="I1356" s="4">
        <v>0</v>
      </c>
    </row>
    <row r="1357" spans="1:9" x14ac:dyDescent="0.2">
      <c r="A1357" s="2">
        <v>16</v>
      </c>
      <c r="B1357" s="1" t="s">
        <v>116</v>
      </c>
      <c r="C1357" s="4">
        <v>14</v>
      </c>
      <c r="D1357" s="8">
        <v>1.63</v>
      </c>
      <c r="E1357" s="4">
        <v>0</v>
      </c>
      <c r="F1357" s="8">
        <v>0</v>
      </c>
      <c r="G1357" s="4">
        <v>5</v>
      </c>
      <c r="H1357" s="8">
        <v>1.1599999999999999</v>
      </c>
      <c r="I1357" s="4">
        <v>0</v>
      </c>
    </row>
    <row r="1358" spans="1:9" x14ac:dyDescent="0.2">
      <c r="A1358" s="2">
        <v>19</v>
      </c>
      <c r="B1358" s="1" t="s">
        <v>98</v>
      </c>
      <c r="C1358" s="4">
        <v>13</v>
      </c>
      <c r="D1358" s="8">
        <v>1.51</v>
      </c>
      <c r="E1358" s="4">
        <v>4</v>
      </c>
      <c r="F1358" s="8">
        <v>0.96</v>
      </c>
      <c r="G1358" s="4">
        <v>9</v>
      </c>
      <c r="H1358" s="8">
        <v>2.09</v>
      </c>
      <c r="I1358" s="4">
        <v>0</v>
      </c>
    </row>
    <row r="1359" spans="1:9" x14ac:dyDescent="0.2">
      <c r="A1359" s="2">
        <v>20</v>
      </c>
      <c r="B1359" s="1" t="s">
        <v>106</v>
      </c>
      <c r="C1359" s="4">
        <v>12</v>
      </c>
      <c r="D1359" s="8">
        <v>1.4</v>
      </c>
      <c r="E1359" s="4">
        <v>2</v>
      </c>
      <c r="F1359" s="8">
        <v>0.48</v>
      </c>
      <c r="G1359" s="4">
        <v>10</v>
      </c>
      <c r="H1359" s="8">
        <v>2.33</v>
      </c>
      <c r="I1359" s="4">
        <v>0</v>
      </c>
    </row>
    <row r="1360" spans="1:9" x14ac:dyDescent="0.2">
      <c r="A1360" s="2">
        <v>20</v>
      </c>
      <c r="B1360" s="1" t="s">
        <v>109</v>
      </c>
      <c r="C1360" s="4">
        <v>12</v>
      </c>
      <c r="D1360" s="8">
        <v>1.4</v>
      </c>
      <c r="E1360" s="4">
        <v>4</v>
      </c>
      <c r="F1360" s="8">
        <v>0.96</v>
      </c>
      <c r="G1360" s="4">
        <v>8</v>
      </c>
      <c r="H1360" s="8">
        <v>1.86</v>
      </c>
      <c r="I1360" s="4">
        <v>0</v>
      </c>
    </row>
    <row r="1361" spans="1:9" x14ac:dyDescent="0.2">
      <c r="A1361" s="1"/>
      <c r="C1361" s="4"/>
      <c r="D1361" s="8"/>
      <c r="E1361" s="4"/>
      <c r="F1361" s="8"/>
      <c r="G1361" s="4"/>
      <c r="H1361" s="8"/>
      <c r="I1361" s="4"/>
    </row>
    <row r="1362" spans="1:9" x14ac:dyDescent="0.2">
      <c r="A1362" s="1" t="s">
        <v>61</v>
      </c>
      <c r="C1362" s="4"/>
      <c r="D1362" s="8"/>
      <c r="E1362" s="4"/>
      <c r="F1362" s="8"/>
      <c r="G1362" s="4"/>
      <c r="H1362" s="8"/>
      <c r="I1362" s="4"/>
    </row>
    <row r="1363" spans="1:9" x14ac:dyDescent="0.2">
      <c r="A1363" s="2">
        <v>1</v>
      </c>
      <c r="B1363" s="1" t="s">
        <v>123</v>
      </c>
      <c r="C1363" s="4">
        <v>21</v>
      </c>
      <c r="D1363" s="8">
        <v>7.47</v>
      </c>
      <c r="E1363" s="4">
        <v>0</v>
      </c>
      <c r="F1363" s="8">
        <v>0</v>
      </c>
      <c r="G1363" s="4">
        <v>21</v>
      </c>
      <c r="H1363" s="8">
        <v>10.34</v>
      </c>
      <c r="I1363" s="4">
        <v>0</v>
      </c>
    </row>
    <row r="1364" spans="1:9" x14ac:dyDescent="0.2">
      <c r="A1364" s="2">
        <v>2</v>
      </c>
      <c r="B1364" s="1" t="s">
        <v>97</v>
      </c>
      <c r="C1364" s="4">
        <v>19</v>
      </c>
      <c r="D1364" s="8">
        <v>6.76</v>
      </c>
      <c r="E1364" s="4">
        <v>6</v>
      </c>
      <c r="F1364" s="8">
        <v>8.11</v>
      </c>
      <c r="G1364" s="4">
        <v>13</v>
      </c>
      <c r="H1364" s="8">
        <v>6.4</v>
      </c>
      <c r="I1364" s="4">
        <v>0</v>
      </c>
    </row>
    <row r="1365" spans="1:9" x14ac:dyDescent="0.2">
      <c r="A1365" s="2">
        <v>2</v>
      </c>
      <c r="B1365" s="1" t="s">
        <v>99</v>
      </c>
      <c r="C1365" s="4">
        <v>19</v>
      </c>
      <c r="D1365" s="8">
        <v>6.76</v>
      </c>
      <c r="E1365" s="4">
        <v>1</v>
      </c>
      <c r="F1365" s="8">
        <v>1.35</v>
      </c>
      <c r="G1365" s="4">
        <v>18</v>
      </c>
      <c r="H1365" s="8">
        <v>8.8699999999999992</v>
      </c>
      <c r="I1365" s="4">
        <v>0</v>
      </c>
    </row>
    <row r="1366" spans="1:9" x14ac:dyDescent="0.2">
      <c r="A1366" s="2">
        <v>4</v>
      </c>
      <c r="B1366" s="1" t="s">
        <v>105</v>
      </c>
      <c r="C1366" s="4">
        <v>17</v>
      </c>
      <c r="D1366" s="8">
        <v>6.05</v>
      </c>
      <c r="E1366" s="4">
        <v>12</v>
      </c>
      <c r="F1366" s="8">
        <v>16.22</v>
      </c>
      <c r="G1366" s="4">
        <v>5</v>
      </c>
      <c r="H1366" s="8">
        <v>2.46</v>
      </c>
      <c r="I1366" s="4">
        <v>0</v>
      </c>
    </row>
    <row r="1367" spans="1:9" x14ac:dyDescent="0.2">
      <c r="A1367" s="2">
        <v>5</v>
      </c>
      <c r="B1367" s="1" t="s">
        <v>140</v>
      </c>
      <c r="C1367" s="4">
        <v>16</v>
      </c>
      <c r="D1367" s="8">
        <v>5.69</v>
      </c>
      <c r="E1367" s="4">
        <v>0</v>
      </c>
      <c r="F1367" s="8">
        <v>0</v>
      </c>
      <c r="G1367" s="4">
        <v>16</v>
      </c>
      <c r="H1367" s="8">
        <v>7.88</v>
      </c>
      <c r="I1367" s="4">
        <v>0</v>
      </c>
    </row>
    <row r="1368" spans="1:9" x14ac:dyDescent="0.2">
      <c r="A1368" s="2">
        <v>6</v>
      </c>
      <c r="B1368" s="1" t="s">
        <v>110</v>
      </c>
      <c r="C1368" s="4">
        <v>14</v>
      </c>
      <c r="D1368" s="8">
        <v>4.9800000000000004</v>
      </c>
      <c r="E1368" s="4">
        <v>13</v>
      </c>
      <c r="F1368" s="8">
        <v>17.57</v>
      </c>
      <c r="G1368" s="4">
        <v>1</v>
      </c>
      <c r="H1368" s="8">
        <v>0.49</v>
      </c>
      <c r="I1368" s="4">
        <v>0</v>
      </c>
    </row>
    <row r="1369" spans="1:9" x14ac:dyDescent="0.2">
      <c r="A1369" s="2">
        <v>7</v>
      </c>
      <c r="B1369" s="1" t="s">
        <v>94</v>
      </c>
      <c r="C1369" s="4">
        <v>12</v>
      </c>
      <c r="D1369" s="8">
        <v>4.2699999999999996</v>
      </c>
      <c r="E1369" s="4">
        <v>4</v>
      </c>
      <c r="F1369" s="8">
        <v>5.41</v>
      </c>
      <c r="G1369" s="4">
        <v>8</v>
      </c>
      <c r="H1369" s="8">
        <v>3.94</v>
      </c>
      <c r="I1369" s="4">
        <v>0</v>
      </c>
    </row>
    <row r="1370" spans="1:9" x14ac:dyDescent="0.2">
      <c r="A1370" s="2">
        <v>8</v>
      </c>
      <c r="B1370" s="1" t="s">
        <v>141</v>
      </c>
      <c r="C1370" s="4">
        <v>11</v>
      </c>
      <c r="D1370" s="8">
        <v>3.91</v>
      </c>
      <c r="E1370" s="4">
        <v>0</v>
      </c>
      <c r="F1370" s="8">
        <v>0</v>
      </c>
      <c r="G1370" s="4">
        <v>11</v>
      </c>
      <c r="H1370" s="8">
        <v>5.42</v>
      </c>
      <c r="I1370" s="4">
        <v>0</v>
      </c>
    </row>
    <row r="1371" spans="1:9" x14ac:dyDescent="0.2">
      <c r="A1371" s="2">
        <v>9</v>
      </c>
      <c r="B1371" s="1" t="s">
        <v>95</v>
      </c>
      <c r="C1371" s="4">
        <v>10</v>
      </c>
      <c r="D1371" s="8">
        <v>3.56</v>
      </c>
      <c r="E1371" s="4">
        <v>6</v>
      </c>
      <c r="F1371" s="8">
        <v>8.11</v>
      </c>
      <c r="G1371" s="4">
        <v>4</v>
      </c>
      <c r="H1371" s="8">
        <v>1.97</v>
      </c>
      <c r="I1371" s="4">
        <v>0</v>
      </c>
    </row>
    <row r="1372" spans="1:9" x14ac:dyDescent="0.2">
      <c r="A1372" s="2">
        <v>9</v>
      </c>
      <c r="B1372" s="1" t="s">
        <v>100</v>
      </c>
      <c r="C1372" s="4">
        <v>10</v>
      </c>
      <c r="D1372" s="8">
        <v>3.56</v>
      </c>
      <c r="E1372" s="4">
        <v>0</v>
      </c>
      <c r="F1372" s="8">
        <v>0</v>
      </c>
      <c r="G1372" s="4">
        <v>10</v>
      </c>
      <c r="H1372" s="8">
        <v>4.93</v>
      </c>
      <c r="I1372" s="4">
        <v>0</v>
      </c>
    </row>
    <row r="1373" spans="1:9" x14ac:dyDescent="0.2">
      <c r="A1373" s="2">
        <v>9</v>
      </c>
      <c r="B1373" s="1" t="s">
        <v>107</v>
      </c>
      <c r="C1373" s="4">
        <v>10</v>
      </c>
      <c r="D1373" s="8">
        <v>3.56</v>
      </c>
      <c r="E1373" s="4">
        <v>0</v>
      </c>
      <c r="F1373" s="8">
        <v>0</v>
      </c>
      <c r="G1373" s="4">
        <v>10</v>
      </c>
      <c r="H1373" s="8">
        <v>4.93</v>
      </c>
      <c r="I1373" s="4">
        <v>0</v>
      </c>
    </row>
    <row r="1374" spans="1:9" x14ac:dyDescent="0.2">
      <c r="A1374" s="2">
        <v>12</v>
      </c>
      <c r="B1374" s="1" t="s">
        <v>122</v>
      </c>
      <c r="C1374" s="4">
        <v>9</v>
      </c>
      <c r="D1374" s="8">
        <v>3.2</v>
      </c>
      <c r="E1374" s="4">
        <v>5</v>
      </c>
      <c r="F1374" s="8">
        <v>6.76</v>
      </c>
      <c r="G1374" s="4">
        <v>4</v>
      </c>
      <c r="H1374" s="8">
        <v>1.97</v>
      </c>
      <c r="I1374" s="4">
        <v>0</v>
      </c>
    </row>
    <row r="1375" spans="1:9" x14ac:dyDescent="0.2">
      <c r="A1375" s="2">
        <v>13</v>
      </c>
      <c r="B1375" s="1" t="s">
        <v>133</v>
      </c>
      <c r="C1375" s="4">
        <v>8</v>
      </c>
      <c r="D1375" s="8">
        <v>2.85</v>
      </c>
      <c r="E1375" s="4">
        <v>1</v>
      </c>
      <c r="F1375" s="8">
        <v>1.35</v>
      </c>
      <c r="G1375" s="4">
        <v>7</v>
      </c>
      <c r="H1375" s="8">
        <v>3.45</v>
      </c>
      <c r="I1375" s="4">
        <v>0</v>
      </c>
    </row>
    <row r="1376" spans="1:9" x14ac:dyDescent="0.2">
      <c r="A1376" s="2">
        <v>13</v>
      </c>
      <c r="B1376" s="1" t="s">
        <v>139</v>
      </c>
      <c r="C1376" s="4">
        <v>8</v>
      </c>
      <c r="D1376" s="8">
        <v>2.85</v>
      </c>
      <c r="E1376" s="4">
        <v>2</v>
      </c>
      <c r="F1376" s="8">
        <v>2.7</v>
      </c>
      <c r="G1376" s="4">
        <v>6</v>
      </c>
      <c r="H1376" s="8">
        <v>2.96</v>
      </c>
      <c r="I1376" s="4">
        <v>0</v>
      </c>
    </row>
    <row r="1377" spans="1:9" x14ac:dyDescent="0.2">
      <c r="A1377" s="2">
        <v>13</v>
      </c>
      <c r="B1377" s="1" t="s">
        <v>114</v>
      </c>
      <c r="C1377" s="4">
        <v>8</v>
      </c>
      <c r="D1377" s="8">
        <v>2.85</v>
      </c>
      <c r="E1377" s="4">
        <v>1</v>
      </c>
      <c r="F1377" s="8">
        <v>1.35</v>
      </c>
      <c r="G1377" s="4">
        <v>7</v>
      </c>
      <c r="H1377" s="8">
        <v>3.45</v>
      </c>
      <c r="I1377" s="4">
        <v>0</v>
      </c>
    </row>
    <row r="1378" spans="1:9" x14ac:dyDescent="0.2">
      <c r="A1378" s="2">
        <v>16</v>
      </c>
      <c r="B1378" s="1" t="s">
        <v>124</v>
      </c>
      <c r="C1378" s="4">
        <v>7</v>
      </c>
      <c r="D1378" s="8">
        <v>2.4900000000000002</v>
      </c>
      <c r="E1378" s="4">
        <v>0</v>
      </c>
      <c r="F1378" s="8">
        <v>0</v>
      </c>
      <c r="G1378" s="4">
        <v>7</v>
      </c>
      <c r="H1378" s="8">
        <v>3.45</v>
      </c>
      <c r="I1378" s="4">
        <v>0</v>
      </c>
    </row>
    <row r="1379" spans="1:9" x14ac:dyDescent="0.2">
      <c r="A1379" s="2">
        <v>16</v>
      </c>
      <c r="B1379" s="1" t="s">
        <v>132</v>
      </c>
      <c r="C1379" s="4">
        <v>7</v>
      </c>
      <c r="D1379" s="8">
        <v>2.4900000000000002</v>
      </c>
      <c r="E1379" s="4">
        <v>1</v>
      </c>
      <c r="F1379" s="8">
        <v>1.35</v>
      </c>
      <c r="G1379" s="4">
        <v>6</v>
      </c>
      <c r="H1379" s="8">
        <v>2.96</v>
      </c>
      <c r="I1379" s="4">
        <v>0</v>
      </c>
    </row>
    <row r="1380" spans="1:9" x14ac:dyDescent="0.2">
      <c r="A1380" s="2">
        <v>18</v>
      </c>
      <c r="B1380" s="1" t="s">
        <v>104</v>
      </c>
      <c r="C1380" s="4">
        <v>6</v>
      </c>
      <c r="D1380" s="8">
        <v>2.14</v>
      </c>
      <c r="E1380" s="4">
        <v>2</v>
      </c>
      <c r="F1380" s="8">
        <v>2.7</v>
      </c>
      <c r="G1380" s="4">
        <v>4</v>
      </c>
      <c r="H1380" s="8">
        <v>1.97</v>
      </c>
      <c r="I1380" s="4">
        <v>0</v>
      </c>
    </row>
    <row r="1381" spans="1:9" x14ac:dyDescent="0.2">
      <c r="A1381" s="2">
        <v>18</v>
      </c>
      <c r="B1381" s="1" t="s">
        <v>112</v>
      </c>
      <c r="C1381" s="4">
        <v>6</v>
      </c>
      <c r="D1381" s="8">
        <v>2.14</v>
      </c>
      <c r="E1381" s="4">
        <v>4</v>
      </c>
      <c r="F1381" s="8">
        <v>5.41</v>
      </c>
      <c r="G1381" s="4">
        <v>1</v>
      </c>
      <c r="H1381" s="8">
        <v>0.49</v>
      </c>
      <c r="I1381" s="4">
        <v>0</v>
      </c>
    </row>
    <row r="1382" spans="1:9" x14ac:dyDescent="0.2">
      <c r="A1382" s="2">
        <v>20</v>
      </c>
      <c r="B1382" s="1" t="s">
        <v>96</v>
      </c>
      <c r="C1382" s="4">
        <v>5</v>
      </c>
      <c r="D1382" s="8">
        <v>1.78</v>
      </c>
      <c r="E1382" s="4">
        <v>0</v>
      </c>
      <c r="F1382" s="8">
        <v>0</v>
      </c>
      <c r="G1382" s="4">
        <v>5</v>
      </c>
      <c r="H1382" s="8">
        <v>2.46</v>
      </c>
      <c r="I1382" s="4">
        <v>0</v>
      </c>
    </row>
    <row r="1383" spans="1:9" x14ac:dyDescent="0.2">
      <c r="A1383" s="1"/>
      <c r="C1383" s="4"/>
      <c r="D1383" s="8"/>
      <c r="E1383" s="4"/>
      <c r="F1383" s="8"/>
      <c r="G1383" s="4"/>
      <c r="H1383" s="8"/>
      <c r="I1383" s="4"/>
    </row>
    <row r="1384" spans="1:9" x14ac:dyDescent="0.2">
      <c r="A1384" s="1" t="s">
        <v>62</v>
      </c>
      <c r="C1384" s="4"/>
      <c r="D1384" s="8"/>
      <c r="E1384" s="4"/>
      <c r="F1384" s="8"/>
      <c r="G1384" s="4"/>
      <c r="H1384" s="8"/>
      <c r="I1384" s="4"/>
    </row>
    <row r="1385" spans="1:9" x14ac:dyDescent="0.2">
      <c r="A1385" s="2">
        <v>1</v>
      </c>
      <c r="B1385" s="1" t="s">
        <v>111</v>
      </c>
      <c r="C1385" s="4">
        <v>48</v>
      </c>
      <c r="D1385" s="8">
        <v>10.41</v>
      </c>
      <c r="E1385" s="4">
        <v>41</v>
      </c>
      <c r="F1385" s="8">
        <v>16.670000000000002</v>
      </c>
      <c r="G1385" s="4">
        <v>7</v>
      </c>
      <c r="H1385" s="8">
        <v>3.32</v>
      </c>
      <c r="I1385" s="4">
        <v>0</v>
      </c>
    </row>
    <row r="1386" spans="1:9" x14ac:dyDescent="0.2">
      <c r="A1386" s="2">
        <v>2</v>
      </c>
      <c r="B1386" s="1" t="s">
        <v>110</v>
      </c>
      <c r="C1386" s="4">
        <v>42</v>
      </c>
      <c r="D1386" s="8">
        <v>9.11</v>
      </c>
      <c r="E1386" s="4">
        <v>38</v>
      </c>
      <c r="F1386" s="8">
        <v>15.45</v>
      </c>
      <c r="G1386" s="4">
        <v>4</v>
      </c>
      <c r="H1386" s="8">
        <v>1.9</v>
      </c>
      <c r="I1386" s="4">
        <v>0</v>
      </c>
    </row>
    <row r="1387" spans="1:9" x14ac:dyDescent="0.2">
      <c r="A1387" s="2">
        <v>3</v>
      </c>
      <c r="B1387" s="1" t="s">
        <v>95</v>
      </c>
      <c r="C1387" s="4">
        <v>40</v>
      </c>
      <c r="D1387" s="8">
        <v>8.68</v>
      </c>
      <c r="E1387" s="4">
        <v>20</v>
      </c>
      <c r="F1387" s="8">
        <v>8.1300000000000008</v>
      </c>
      <c r="G1387" s="4">
        <v>20</v>
      </c>
      <c r="H1387" s="8">
        <v>9.48</v>
      </c>
      <c r="I1387" s="4">
        <v>0</v>
      </c>
    </row>
    <row r="1388" spans="1:9" x14ac:dyDescent="0.2">
      <c r="A1388" s="2">
        <v>4</v>
      </c>
      <c r="B1388" s="1" t="s">
        <v>94</v>
      </c>
      <c r="C1388" s="4">
        <v>33</v>
      </c>
      <c r="D1388" s="8">
        <v>7.16</v>
      </c>
      <c r="E1388" s="4">
        <v>6</v>
      </c>
      <c r="F1388" s="8">
        <v>2.44</v>
      </c>
      <c r="G1388" s="4">
        <v>27</v>
      </c>
      <c r="H1388" s="8">
        <v>12.8</v>
      </c>
      <c r="I1388" s="4">
        <v>0</v>
      </c>
    </row>
    <row r="1389" spans="1:9" x14ac:dyDescent="0.2">
      <c r="A1389" s="2">
        <v>5</v>
      </c>
      <c r="B1389" s="1" t="s">
        <v>104</v>
      </c>
      <c r="C1389" s="4">
        <v>26</v>
      </c>
      <c r="D1389" s="8">
        <v>5.64</v>
      </c>
      <c r="E1389" s="4">
        <v>16</v>
      </c>
      <c r="F1389" s="8">
        <v>6.5</v>
      </c>
      <c r="G1389" s="4">
        <v>10</v>
      </c>
      <c r="H1389" s="8">
        <v>4.74</v>
      </c>
      <c r="I1389" s="4">
        <v>0</v>
      </c>
    </row>
    <row r="1390" spans="1:9" x14ac:dyDescent="0.2">
      <c r="A1390" s="2">
        <v>6</v>
      </c>
      <c r="B1390" s="1" t="s">
        <v>105</v>
      </c>
      <c r="C1390" s="4">
        <v>24</v>
      </c>
      <c r="D1390" s="8">
        <v>5.21</v>
      </c>
      <c r="E1390" s="4">
        <v>14</v>
      </c>
      <c r="F1390" s="8">
        <v>5.69</v>
      </c>
      <c r="G1390" s="4">
        <v>10</v>
      </c>
      <c r="H1390" s="8">
        <v>4.74</v>
      </c>
      <c r="I1390" s="4">
        <v>0</v>
      </c>
    </row>
    <row r="1391" spans="1:9" x14ac:dyDescent="0.2">
      <c r="A1391" s="2">
        <v>7</v>
      </c>
      <c r="B1391" s="1" t="s">
        <v>103</v>
      </c>
      <c r="C1391" s="4">
        <v>21</v>
      </c>
      <c r="D1391" s="8">
        <v>4.5599999999999996</v>
      </c>
      <c r="E1391" s="4">
        <v>13</v>
      </c>
      <c r="F1391" s="8">
        <v>5.28</v>
      </c>
      <c r="G1391" s="4">
        <v>8</v>
      </c>
      <c r="H1391" s="8">
        <v>3.79</v>
      </c>
      <c r="I1391" s="4">
        <v>0</v>
      </c>
    </row>
    <row r="1392" spans="1:9" x14ac:dyDescent="0.2">
      <c r="A1392" s="2">
        <v>8</v>
      </c>
      <c r="B1392" s="1" t="s">
        <v>113</v>
      </c>
      <c r="C1392" s="4">
        <v>20</v>
      </c>
      <c r="D1392" s="8">
        <v>4.34</v>
      </c>
      <c r="E1392" s="4">
        <v>20</v>
      </c>
      <c r="F1392" s="8">
        <v>8.1300000000000008</v>
      </c>
      <c r="G1392" s="4">
        <v>0</v>
      </c>
      <c r="H1392" s="8">
        <v>0</v>
      </c>
      <c r="I1392" s="4">
        <v>0</v>
      </c>
    </row>
    <row r="1393" spans="1:9" x14ac:dyDescent="0.2">
      <c r="A1393" s="2">
        <v>9</v>
      </c>
      <c r="B1393" s="1" t="s">
        <v>96</v>
      </c>
      <c r="C1393" s="4">
        <v>17</v>
      </c>
      <c r="D1393" s="8">
        <v>3.69</v>
      </c>
      <c r="E1393" s="4">
        <v>6</v>
      </c>
      <c r="F1393" s="8">
        <v>2.44</v>
      </c>
      <c r="G1393" s="4">
        <v>11</v>
      </c>
      <c r="H1393" s="8">
        <v>5.21</v>
      </c>
      <c r="I1393" s="4">
        <v>0</v>
      </c>
    </row>
    <row r="1394" spans="1:9" x14ac:dyDescent="0.2">
      <c r="A1394" s="2">
        <v>9</v>
      </c>
      <c r="B1394" s="1" t="s">
        <v>112</v>
      </c>
      <c r="C1394" s="4">
        <v>17</v>
      </c>
      <c r="D1394" s="8">
        <v>3.69</v>
      </c>
      <c r="E1394" s="4">
        <v>13</v>
      </c>
      <c r="F1394" s="8">
        <v>5.28</v>
      </c>
      <c r="G1394" s="4">
        <v>4</v>
      </c>
      <c r="H1394" s="8">
        <v>1.9</v>
      </c>
      <c r="I1394" s="4">
        <v>0</v>
      </c>
    </row>
    <row r="1395" spans="1:9" x14ac:dyDescent="0.2">
      <c r="A1395" s="2">
        <v>11</v>
      </c>
      <c r="B1395" s="1" t="s">
        <v>108</v>
      </c>
      <c r="C1395" s="4">
        <v>16</v>
      </c>
      <c r="D1395" s="8">
        <v>3.47</v>
      </c>
      <c r="E1395" s="4">
        <v>12</v>
      </c>
      <c r="F1395" s="8">
        <v>4.88</v>
      </c>
      <c r="G1395" s="4">
        <v>4</v>
      </c>
      <c r="H1395" s="8">
        <v>1.9</v>
      </c>
      <c r="I1395" s="4">
        <v>0</v>
      </c>
    </row>
    <row r="1396" spans="1:9" x14ac:dyDescent="0.2">
      <c r="A1396" s="2">
        <v>12</v>
      </c>
      <c r="B1396" s="1" t="s">
        <v>102</v>
      </c>
      <c r="C1396" s="4">
        <v>13</v>
      </c>
      <c r="D1396" s="8">
        <v>2.82</v>
      </c>
      <c r="E1396" s="4">
        <v>8</v>
      </c>
      <c r="F1396" s="8">
        <v>3.25</v>
      </c>
      <c r="G1396" s="4">
        <v>5</v>
      </c>
      <c r="H1396" s="8">
        <v>2.37</v>
      </c>
      <c r="I1396" s="4">
        <v>0</v>
      </c>
    </row>
    <row r="1397" spans="1:9" x14ac:dyDescent="0.2">
      <c r="A1397" s="2">
        <v>12</v>
      </c>
      <c r="B1397" s="1" t="s">
        <v>107</v>
      </c>
      <c r="C1397" s="4">
        <v>13</v>
      </c>
      <c r="D1397" s="8">
        <v>2.82</v>
      </c>
      <c r="E1397" s="4">
        <v>4</v>
      </c>
      <c r="F1397" s="8">
        <v>1.63</v>
      </c>
      <c r="G1397" s="4">
        <v>9</v>
      </c>
      <c r="H1397" s="8">
        <v>4.2699999999999996</v>
      </c>
      <c r="I1397" s="4">
        <v>0</v>
      </c>
    </row>
    <row r="1398" spans="1:9" x14ac:dyDescent="0.2">
      <c r="A1398" s="2">
        <v>14</v>
      </c>
      <c r="B1398" s="1" t="s">
        <v>116</v>
      </c>
      <c r="C1398" s="4">
        <v>10</v>
      </c>
      <c r="D1398" s="8">
        <v>2.17</v>
      </c>
      <c r="E1398" s="4">
        <v>0</v>
      </c>
      <c r="F1398" s="8">
        <v>0</v>
      </c>
      <c r="G1398" s="4">
        <v>9</v>
      </c>
      <c r="H1398" s="8">
        <v>4.2699999999999996</v>
      </c>
      <c r="I1398" s="4">
        <v>0</v>
      </c>
    </row>
    <row r="1399" spans="1:9" x14ac:dyDescent="0.2">
      <c r="A1399" s="2">
        <v>15</v>
      </c>
      <c r="B1399" s="1" t="s">
        <v>115</v>
      </c>
      <c r="C1399" s="4">
        <v>9</v>
      </c>
      <c r="D1399" s="8">
        <v>1.95</v>
      </c>
      <c r="E1399" s="4">
        <v>3</v>
      </c>
      <c r="F1399" s="8">
        <v>1.22</v>
      </c>
      <c r="G1399" s="4">
        <v>6</v>
      </c>
      <c r="H1399" s="8">
        <v>2.84</v>
      </c>
      <c r="I1399" s="4">
        <v>0</v>
      </c>
    </row>
    <row r="1400" spans="1:9" x14ac:dyDescent="0.2">
      <c r="A1400" s="2">
        <v>16</v>
      </c>
      <c r="B1400" s="1" t="s">
        <v>142</v>
      </c>
      <c r="C1400" s="4">
        <v>8</v>
      </c>
      <c r="D1400" s="8">
        <v>1.74</v>
      </c>
      <c r="E1400" s="4">
        <v>3</v>
      </c>
      <c r="F1400" s="8">
        <v>1.22</v>
      </c>
      <c r="G1400" s="4">
        <v>5</v>
      </c>
      <c r="H1400" s="8">
        <v>2.37</v>
      </c>
      <c r="I1400" s="4">
        <v>0</v>
      </c>
    </row>
    <row r="1401" spans="1:9" x14ac:dyDescent="0.2">
      <c r="A1401" s="2">
        <v>16</v>
      </c>
      <c r="B1401" s="1" t="s">
        <v>122</v>
      </c>
      <c r="C1401" s="4">
        <v>8</v>
      </c>
      <c r="D1401" s="8">
        <v>1.74</v>
      </c>
      <c r="E1401" s="4">
        <v>3</v>
      </c>
      <c r="F1401" s="8">
        <v>1.22</v>
      </c>
      <c r="G1401" s="4">
        <v>5</v>
      </c>
      <c r="H1401" s="8">
        <v>2.37</v>
      </c>
      <c r="I1401" s="4">
        <v>0</v>
      </c>
    </row>
    <row r="1402" spans="1:9" x14ac:dyDescent="0.2">
      <c r="A1402" s="2">
        <v>18</v>
      </c>
      <c r="B1402" s="1" t="s">
        <v>101</v>
      </c>
      <c r="C1402" s="4">
        <v>7</v>
      </c>
      <c r="D1402" s="8">
        <v>1.52</v>
      </c>
      <c r="E1402" s="4">
        <v>1</v>
      </c>
      <c r="F1402" s="8">
        <v>0.41</v>
      </c>
      <c r="G1402" s="4">
        <v>6</v>
      </c>
      <c r="H1402" s="8">
        <v>2.84</v>
      </c>
      <c r="I1402" s="4">
        <v>0</v>
      </c>
    </row>
    <row r="1403" spans="1:9" x14ac:dyDescent="0.2">
      <c r="A1403" s="2">
        <v>19</v>
      </c>
      <c r="B1403" s="1" t="s">
        <v>109</v>
      </c>
      <c r="C1403" s="4">
        <v>6</v>
      </c>
      <c r="D1403" s="8">
        <v>1.3</v>
      </c>
      <c r="E1403" s="4">
        <v>4</v>
      </c>
      <c r="F1403" s="8">
        <v>1.63</v>
      </c>
      <c r="G1403" s="4">
        <v>2</v>
      </c>
      <c r="H1403" s="8">
        <v>0.95</v>
      </c>
      <c r="I1403" s="4">
        <v>0</v>
      </c>
    </row>
    <row r="1404" spans="1:9" x14ac:dyDescent="0.2">
      <c r="A1404" s="2">
        <v>19</v>
      </c>
      <c r="B1404" s="1" t="s">
        <v>143</v>
      </c>
      <c r="C1404" s="4">
        <v>6</v>
      </c>
      <c r="D1404" s="8">
        <v>1.3</v>
      </c>
      <c r="E1404" s="4">
        <v>2</v>
      </c>
      <c r="F1404" s="8">
        <v>0.81</v>
      </c>
      <c r="G1404" s="4">
        <v>4</v>
      </c>
      <c r="H1404" s="8">
        <v>1.9</v>
      </c>
      <c r="I1404" s="4">
        <v>0</v>
      </c>
    </row>
    <row r="1405" spans="1:9" x14ac:dyDescent="0.2">
      <c r="A1405" s="1"/>
      <c r="C1405" s="4"/>
      <c r="D1405" s="8"/>
      <c r="E1405" s="4"/>
      <c r="F1405" s="8"/>
      <c r="G1405" s="4"/>
      <c r="H1405" s="8"/>
      <c r="I1405" s="4"/>
    </row>
    <row r="1406" spans="1:9" x14ac:dyDescent="0.2">
      <c r="A1406" s="1" t="s">
        <v>63</v>
      </c>
      <c r="C1406" s="4"/>
      <c r="D1406" s="8"/>
      <c r="E1406" s="4"/>
      <c r="F1406" s="8"/>
      <c r="G1406" s="4"/>
      <c r="H1406" s="8"/>
      <c r="I1406" s="4"/>
    </row>
    <row r="1407" spans="1:9" x14ac:dyDescent="0.2">
      <c r="A1407" s="2">
        <v>1</v>
      </c>
      <c r="B1407" s="1" t="s">
        <v>107</v>
      </c>
      <c r="C1407" s="4">
        <v>69</v>
      </c>
      <c r="D1407" s="8">
        <v>9.34</v>
      </c>
      <c r="E1407" s="4">
        <v>20</v>
      </c>
      <c r="F1407" s="8">
        <v>5.73</v>
      </c>
      <c r="G1407" s="4">
        <v>49</v>
      </c>
      <c r="H1407" s="8">
        <v>12.89</v>
      </c>
      <c r="I1407" s="4">
        <v>0</v>
      </c>
    </row>
    <row r="1408" spans="1:9" x14ac:dyDescent="0.2">
      <c r="A1408" s="2">
        <v>2</v>
      </c>
      <c r="B1408" s="1" t="s">
        <v>111</v>
      </c>
      <c r="C1408" s="4">
        <v>58</v>
      </c>
      <c r="D1408" s="8">
        <v>7.85</v>
      </c>
      <c r="E1408" s="4">
        <v>55</v>
      </c>
      <c r="F1408" s="8">
        <v>15.76</v>
      </c>
      <c r="G1408" s="4">
        <v>3</v>
      </c>
      <c r="H1408" s="8">
        <v>0.79</v>
      </c>
      <c r="I1408" s="4">
        <v>0</v>
      </c>
    </row>
    <row r="1409" spans="1:9" x14ac:dyDescent="0.2">
      <c r="A1409" s="2">
        <v>3</v>
      </c>
      <c r="B1409" s="1" t="s">
        <v>110</v>
      </c>
      <c r="C1409" s="4">
        <v>56</v>
      </c>
      <c r="D1409" s="8">
        <v>7.58</v>
      </c>
      <c r="E1409" s="4">
        <v>45</v>
      </c>
      <c r="F1409" s="8">
        <v>12.89</v>
      </c>
      <c r="G1409" s="4">
        <v>11</v>
      </c>
      <c r="H1409" s="8">
        <v>2.89</v>
      </c>
      <c r="I1409" s="4">
        <v>0</v>
      </c>
    </row>
    <row r="1410" spans="1:9" x14ac:dyDescent="0.2">
      <c r="A1410" s="2">
        <v>4</v>
      </c>
      <c r="B1410" s="1" t="s">
        <v>105</v>
      </c>
      <c r="C1410" s="4">
        <v>45</v>
      </c>
      <c r="D1410" s="8">
        <v>6.09</v>
      </c>
      <c r="E1410" s="4">
        <v>21</v>
      </c>
      <c r="F1410" s="8">
        <v>6.02</v>
      </c>
      <c r="G1410" s="4">
        <v>24</v>
      </c>
      <c r="H1410" s="8">
        <v>6.32</v>
      </c>
      <c r="I1410" s="4">
        <v>0</v>
      </c>
    </row>
    <row r="1411" spans="1:9" x14ac:dyDescent="0.2">
      <c r="A1411" s="2">
        <v>5</v>
      </c>
      <c r="B1411" s="1" t="s">
        <v>94</v>
      </c>
      <c r="C1411" s="4">
        <v>43</v>
      </c>
      <c r="D1411" s="8">
        <v>5.82</v>
      </c>
      <c r="E1411" s="4">
        <v>12</v>
      </c>
      <c r="F1411" s="8">
        <v>3.44</v>
      </c>
      <c r="G1411" s="4">
        <v>31</v>
      </c>
      <c r="H1411" s="8">
        <v>8.16</v>
      </c>
      <c r="I1411" s="4">
        <v>0</v>
      </c>
    </row>
    <row r="1412" spans="1:9" x14ac:dyDescent="0.2">
      <c r="A1412" s="2">
        <v>6</v>
      </c>
      <c r="B1412" s="1" t="s">
        <v>96</v>
      </c>
      <c r="C1412" s="4">
        <v>34</v>
      </c>
      <c r="D1412" s="8">
        <v>4.5999999999999996</v>
      </c>
      <c r="E1412" s="4">
        <v>9</v>
      </c>
      <c r="F1412" s="8">
        <v>2.58</v>
      </c>
      <c r="G1412" s="4">
        <v>25</v>
      </c>
      <c r="H1412" s="8">
        <v>6.58</v>
      </c>
      <c r="I1412" s="4">
        <v>0</v>
      </c>
    </row>
    <row r="1413" spans="1:9" x14ac:dyDescent="0.2">
      <c r="A1413" s="2">
        <v>6</v>
      </c>
      <c r="B1413" s="1" t="s">
        <v>112</v>
      </c>
      <c r="C1413" s="4">
        <v>34</v>
      </c>
      <c r="D1413" s="8">
        <v>4.5999999999999996</v>
      </c>
      <c r="E1413" s="4">
        <v>21</v>
      </c>
      <c r="F1413" s="8">
        <v>6.02</v>
      </c>
      <c r="G1413" s="4">
        <v>7</v>
      </c>
      <c r="H1413" s="8">
        <v>1.84</v>
      </c>
      <c r="I1413" s="4">
        <v>0</v>
      </c>
    </row>
    <row r="1414" spans="1:9" x14ac:dyDescent="0.2">
      <c r="A1414" s="2">
        <v>6</v>
      </c>
      <c r="B1414" s="1" t="s">
        <v>113</v>
      </c>
      <c r="C1414" s="4">
        <v>34</v>
      </c>
      <c r="D1414" s="8">
        <v>4.5999999999999996</v>
      </c>
      <c r="E1414" s="4">
        <v>28</v>
      </c>
      <c r="F1414" s="8">
        <v>8.02</v>
      </c>
      <c r="G1414" s="4">
        <v>6</v>
      </c>
      <c r="H1414" s="8">
        <v>1.58</v>
      </c>
      <c r="I1414" s="4">
        <v>0</v>
      </c>
    </row>
    <row r="1415" spans="1:9" x14ac:dyDescent="0.2">
      <c r="A1415" s="2">
        <v>9</v>
      </c>
      <c r="B1415" s="1" t="s">
        <v>95</v>
      </c>
      <c r="C1415" s="4">
        <v>33</v>
      </c>
      <c r="D1415" s="8">
        <v>4.47</v>
      </c>
      <c r="E1415" s="4">
        <v>13</v>
      </c>
      <c r="F1415" s="8">
        <v>3.72</v>
      </c>
      <c r="G1415" s="4">
        <v>20</v>
      </c>
      <c r="H1415" s="8">
        <v>5.26</v>
      </c>
      <c r="I1415" s="4">
        <v>0</v>
      </c>
    </row>
    <row r="1416" spans="1:9" x14ac:dyDescent="0.2">
      <c r="A1416" s="2">
        <v>10</v>
      </c>
      <c r="B1416" s="1" t="s">
        <v>102</v>
      </c>
      <c r="C1416" s="4">
        <v>32</v>
      </c>
      <c r="D1416" s="8">
        <v>4.33</v>
      </c>
      <c r="E1416" s="4">
        <v>11</v>
      </c>
      <c r="F1416" s="8">
        <v>3.15</v>
      </c>
      <c r="G1416" s="4">
        <v>21</v>
      </c>
      <c r="H1416" s="8">
        <v>5.53</v>
      </c>
      <c r="I1416" s="4">
        <v>0</v>
      </c>
    </row>
    <row r="1417" spans="1:9" x14ac:dyDescent="0.2">
      <c r="A1417" s="2">
        <v>11</v>
      </c>
      <c r="B1417" s="1" t="s">
        <v>103</v>
      </c>
      <c r="C1417" s="4">
        <v>26</v>
      </c>
      <c r="D1417" s="8">
        <v>3.52</v>
      </c>
      <c r="E1417" s="4">
        <v>17</v>
      </c>
      <c r="F1417" s="8">
        <v>4.87</v>
      </c>
      <c r="G1417" s="4">
        <v>9</v>
      </c>
      <c r="H1417" s="8">
        <v>2.37</v>
      </c>
      <c r="I1417" s="4">
        <v>0</v>
      </c>
    </row>
    <row r="1418" spans="1:9" x14ac:dyDescent="0.2">
      <c r="A1418" s="2">
        <v>12</v>
      </c>
      <c r="B1418" s="1" t="s">
        <v>98</v>
      </c>
      <c r="C1418" s="4">
        <v>24</v>
      </c>
      <c r="D1418" s="8">
        <v>3.25</v>
      </c>
      <c r="E1418" s="4">
        <v>2</v>
      </c>
      <c r="F1418" s="8">
        <v>0.56999999999999995</v>
      </c>
      <c r="G1418" s="4">
        <v>22</v>
      </c>
      <c r="H1418" s="8">
        <v>5.79</v>
      </c>
      <c r="I1418" s="4">
        <v>0</v>
      </c>
    </row>
    <row r="1419" spans="1:9" x14ac:dyDescent="0.2">
      <c r="A1419" s="2">
        <v>13</v>
      </c>
      <c r="B1419" s="1" t="s">
        <v>104</v>
      </c>
      <c r="C1419" s="4">
        <v>22</v>
      </c>
      <c r="D1419" s="8">
        <v>2.98</v>
      </c>
      <c r="E1419" s="4">
        <v>13</v>
      </c>
      <c r="F1419" s="8">
        <v>3.72</v>
      </c>
      <c r="G1419" s="4">
        <v>9</v>
      </c>
      <c r="H1419" s="8">
        <v>2.37</v>
      </c>
      <c r="I1419" s="4">
        <v>0</v>
      </c>
    </row>
    <row r="1420" spans="1:9" x14ac:dyDescent="0.2">
      <c r="A1420" s="2">
        <v>14</v>
      </c>
      <c r="B1420" s="1" t="s">
        <v>124</v>
      </c>
      <c r="C1420" s="4">
        <v>19</v>
      </c>
      <c r="D1420" s="8">
        <v>2.57</v>
      </c>
      <c r="E1420" s="4">
        <v>5</v>
      </c>
      <c r="F1420" s="8">
        <v>1.43</v>
      </c>
      <c r="G1420" s="4">
        <v>14</v>
      </c>
      <c r="H1420" s="8">
        <v>3.68</v>
      </c>
      <c r="I1420" s="4">
        <v>0</v>
      </c>
    </row>
    <row r="1421" spans="1:9" x14ac:dyDescent="0.2">
      <c r="A1421" s="2">
        <v>14</v>
      </c>
      <c r="B1421" s="1" t="s">
        <v>108</v>
      </c>
      <c r="C1421" s="4">
        <v>19</v>
      </c>
      <c r="D1421" s="8">
        <v>2.57</v>
      </c>
      <c r="E1421" s="4">
        <v>11</v>
      </c>
      <c r="F1421" s="8">
        <v>3.15</v>
      </c>
      <c r="G1421" s="4">
        <v>7</v>
      </c>
      <c r="H1421" s="8">
        <v>1.84</v>
      </c>
      <c r="I1421" s="4">
        <v>1</v>
      </c>
    </row>
    <row r="1422" spans="1:9" x14ac:dyDescent="0.2">
      <c r="A1422" s="2">
        <v>16</v>
      </c>
      <c r="B1422" s="1" t="s">
        <v>109</v>
      </c>
      <c r="C1422" s="4">
        <v>13</v>
      </c>
      <c r="D1422" s="8">
        <v>1.76</v>
      </c>
      <c r="E1422" s="4">
        <v>7</v>
      </c>
      <c r="F1422" s="8">
        <v>2.0099999999999998</v>
      </c>
      <c r="G1422" s="4">
        <v>6</v>
      </c>
      <c r="H1422" s="8">
        <v>1.58</v>
      </c>
      <c r="I1422" s="4">
        <v>0</v>
      </c>
    </row>
    <row r="1423" spans="1:9" x14ac:dyDescent="0.2">
      <c r="A1423" s="2">
        <v>16</v>
      </c>
      <c r="B1423" s="1" t="s">
        <v>116</v>
      </c>
      <c r="C1423" s="4">
        <v>13</v>
      </c>
      <c r="D1423" s="8">
        <v>1.76</v>
      </c>
      <c r="E1423" s="4">
        <v>0</v>
      </c>
      <c r="F1423" s="8">
        <v>0</v>
      </c>
      <c r="G1423" s="4">
        <v>13</v>
      </c>
      <c r="H1423" s="8">
        <v>3.42</v>
      </c>
      <c r="I1423" s="4">
        <v>0</v>
      </c>
    </row>
    <row r="1424" spans="1:9" x14ac:dyDescent="0.2">
      <c r="A1424" s="2">
        <v>18</v>
      </c>
      <c r="B1424" s="1" t="s">
        <v>115</v>
      </c>
      <c r="C1424" s="4">
        <v>12</v>
      </c>
      <c r="D1424" s="8">
        <v>1.62</v>
      </c>
      <c r="E1424" s="4">
        <v>5</v>
      </c>
      <c r="F1424" s="8">
        <v>1.43</v>
      </c>
      <c r="G1424" s="4">
        <v>7</v>
      </c>
      <c r="H1424" s="8">
        <v>1.84</v>
      </c>
      <c r="I1424" s="4">
        <v>0</v>
      </c>
    </row>
    <row r="1425" spans="1:9" x14ac:dyDescent="0.2">
      <c r="A1425" s="2">
        <v>19</v>
      </c>
      <c r="B1425" s="1" t="s">
        <v>131</v>
      </c>
      <c r="C1425" s="4">
        <v>10</v>
      </c>
      <c r="D1425" s="8">
        <v>1.35</v>
      </c>
      <c r="E1425" s="4">
        <v>5</v>
      </c>
      <c r="F1425" s="8">
        <v>1.43</v>
      </c>
      <c r="G1425" s="4">
        <v>5</v>
      </c>
      <c r="H1425" s="8">
        <v>1.32</v>
      </c>
      <c r="I1425" s="4">
        <v>0</v>
      </c>
    </row>
    <row r="1426" spans="1:9" x14ac:dyDescent="0.2">
      <c r="A1426" s="2">
        <v>19</v>
      </c>
      <c r="B1426" s="1" t="s">
        <v>97</v>
      </c>
      <c r="C1426" s="4">
        <v>10</v>
      </c>
      <c r="D1426" s="8">
        <v>1.35</v>
      </c>
      <c r="E1426" s="4">
        <v>3</v>
      </c>
      <c r="F1426" s="8">
        <v>0.86</v>
      </c>
      <c r="G1426" s="4">
        <v>7</v>
      </c>
      <c r="H1426" s="8">
        <v>1.84</v>
      </c>
      <c r="I1426" s="4">
        <v>0</v>
      </c>
    </row>
    <row r="1427" spans="1:9" x14ac:dyDescent="0.2">
      <c r="A1427" s="1"/>
      <c r="C1427" s="4"/>
      <c r="D1427" s="8"/>
      <c r="E1427" s="4"/>
      <c r="F1427" s="8"/>
      <c r="G1427" s="4"/>
      <c r="H1427" s="8"/>
      <c r="I1427" s="4"/>
    </row>
    <row r="1428" spans="1:9" x14ac:dyDescent="0.2">
      <c r="A1428" s="1" t="s">
        <v>64</v>
      </c>
      <c r="C1428" s="4"/>
      <c r="D1428" s="8"/>
      <c r="E1428" s="4"/>
      <c r="F1428" s="8"/>
      <c r="G1428" s="4"/>
      <c r="H1428" s="8"/>
      <c r="I1428" s="4"/>
    </row>
    <row r="1429" spans="1:9" x14ac:dyDescent="0.2">
      <c r="A1429" s="2">
        <v>1</v>
      </c>
      <c r="B1429" s="1" t="s">
        <v>134</v>
      </c>
      <c r="C1429" s="4">
        <v>70</v>
      </c>
      <c r="D1429" s="8">
        <v>10.8</v>
      </c>
      <c r="E1429" s="4">
        <v>59</v>
      </c>
      <c r="F1429" s="8">
        <v>12.09</v>
      </c>
      <c r="G1429" s="4">
        <v>11</v>
      </c>
      <c r="H1429" s="8">
        <v>7.14</v>
      </c>
      <c r="I1429" s="4">
        <v>0</v>
      </c>
    </row>
    <row r="1430" spans="1:9" x14ac:dyDescent="0.2">
      <c r="A1430" s="2">
        <v>2</v>
      </c>
      <c r="B1430" s="1" t="s">
        <v>110</v>
      </c>
      <c r="C1430" s="4">
        <v>66</v>
      </c>
      <c r="D1430" s="8">
        <v>10.19</v>
      </c>
      <c r="E1430" s="4">
        <v>61</v>
      </c>
      <c r="F1430" s="8">
        <v>12.5</v>
      </c>
      <c r="G1430" s="4">
        <v>5</v>
      </c>
      <c r="H1430" s="8">
        <v>3.25</v>
      </c>
      <c r="I1430" s="4">
        <v>0</v>
      </c>
    </row>
    <row r="1431" spans="1:9" x14ac:dyDescent="0.2">
      <c r="A1431" s="2">
        <v>3</v>
      </c>
      <c r="B1431" s="1" t="s">
        <v>103</v>
      </c>
      <c r="C1431" s="4">
        <v>55</v>
      </c>
      <c r="D1431" s="8">
        <v>8.49</v>
      </c>
      <c r="E1431" s="4">
        <v>45</v>
      </c>
      <c r="F1431" s="8">
        <v>9.2200000000000006</v>
      </c>
      <c r="G1431" s="4">
        <v>10</v>
      </c>
      <c r="H1431" s="8">
        <v>6.49</v>
      </c>
      <c r="I1431" s="4">
        <v>0</v>
      </c>
    </row>
    <row r="1432" spans="1:9" x14ac:dyDescent="0.2">
      <c r="A1432" s="2">
        <v>4</v>
      </c>
      <c r="B1432" s="1" t="s">
        <v>105</v>
      </c>
      <c r="C1432" s="4">
        <v>50</v>
      </c>
      <c r="D1432" s="8">
        <v>7.72</v>
      </c>
      <c r="E1432" s="4">
        <v>44</v>
      </c>
      <c r="F1432" s="8">
        <v>9.02</v>
      </c>
      <c r="G1432" s="4">
        <v>6</v>
      </c>
      <c r="H1432" s="8">
        <v>3.9</v>
      </c>
      <c r="I1432" s="4">
        <v>0</v>
      </c>
    </row>
    <row r="1433" spans="1:9" x14ac:dyDescent="0.2">
      <c r="A1433" s="2">
        <v>5</v>
      </c>
      <c r="B1433" s="1" t="s">
        <v>128</v>
      </c>
      <c r="C1433" s="4">
        <v>48</v>
      </c>
      <c r="D1433" s="8">
        <v>7.41</v>
      </c>
      <c r="E1433" s="4">
        <v>24</v>
      </c>
      <c r="F1433" s="8">
        <v>4.92</v>
      </c>
      <c r="G1433" s="4">
        <v>24</v>
      </c>
      <c r="H1433" s="8">
        <v>15.58</v>
      </c>
      <c r="I1433" s="4">
        <v>0</v>
      </c>
    </row>
    <row r="1434" spans="1:9" x14ac:dyDescent="0.2">
      <c r="A1434" s="2">
        <v>6</v>
      </c>
      <c r="B1434" s="1" t="s">
        <v>111</v>
      </c>
      <c r="C1434" s="4">
        <v>42</v>
      </c>
      <c r="D1434" s="8">
        <v>6.48</v>
      </c>
      <c r="E1434" s="4">
        <v>41</v>
      </c>
      <c r="F1434" s="8">
        <v>8.4</v>
      </c>
      <c r="G1434" s="4">
        <v>1</v>
      </c>
      <c r="H1434" s="8">
        <v>0.65</v>
      </c>
      <c r="I1434" s="4">
        <v>0</v>
      </c>
    </row>
    <row r="1435" spans="1:9" x14ac:dyDescent="0.2">
      <c r="A1435" s="2">
        <v>7</v>
      </c>
      <c r="B1435" s="1" t="s">
        <v>95</v>
      </c>
      <c r="C1435" s="4">
        <v>29</v>
      </c>
      <c r="D1435" s="8">
        <v>4.4800000000000004</v>
      </c>
      <c r="E1435" s="4">
        <v>22</v>
      </c>
      <c r="F1435" s="8">
        <v>4.51</v>
      </c>
      <c r="G1435" s="4">
        <v>7</v>
      </c>
      <c r="H1435" s="8">
        <v>4.55</v>
      </c>
      <c r="I1435" s="4">
        <v>0</v>
      </c>
    </row>
    <row r="1436" spans="1:9" x14ac:dyDescent="0.2">
      <c r="A1436" s="2">
        <v>8</v>
      </c>
      <c r="B1436" s="1" t="s">
        <v>138</v>
      </c>
      <c r="C1436" s="4">
        <v>25</v>
      </c>
      <c r="D1436" s="8">
        <v>3.86</v>
      </c>
      <c r="E1436" s="4">
        <v>21</v>
      </c>
      <c r="F1436" s="8">
        <v>4.3</v>
      </c>
      <c r="G1436" s="4">
        <v>3</v>
      </c>
      <c r="H1436" s="8">
        <v>1.95</v>
      </c>
      <c r="I1436" s="4">
        <v>0</v>
      </c>
    </row>
    <row r="1437" spans="1:9" x14ac:dyDescent="0.2">
      <c r="A1437" s="2">
        <v>9</v>
      </c>
      <c r="B1437" s="1" t="s">
        <v>104</v>
      </c>
      <c r="C1437" s="4">
        <v>23</v>
      </c>
      <c r="D1437" s="8">
        <v>3.55</v>
      </c>
      <c r="E1437" s="4">
        <v>20</v>
      </c>
      <c r="F1437" s="8">
        <v>4.0999999999999996</v>
      </c>
      <c r="G1437" s="4">
        <v>3</v>
      </c>
      <c r="H1437" s="8">
        <v>1.95</v>
      </c>
      <c r="I1437" s="4">
        <v>0</v>
      </c>
    </row>
    <row r="1438" spans="1:9" x14ac:dyDescent="0.2">
      <c r="A1438" s="2">
        <v>10</v>
      </c>
      <c r="B1438" s="1" t="s">
        <v>94</v>
      </c>
      <c r="C1438" s="4">
        <v>21</v>
      </c>
      <c r="D1438" s="8">
        <v>3.24</v>
      </c>
      <c r="E1438" s="4">
        <v>14</v>
      </c>
      <c r="F1438" s="8">
        <v>2.87</v>
      </c>
      <c r="G1438" s="4">
        <v>7</v>
      </c>
      <c r="H1438" s="8">
        <v>4.55</v>
      </c>
      <c r="I1438" s="4">
        <v>0</v>
      </c>
    </row>
    <row r="1439" spans="1:9" x14ac:dyDescent="0.2">
      <c r="A1439" s="2">
        <v>11</v>
      </c>
      <c r="B1439" s="1" t="s">
        <v>96</v>
      </c>
      <c r="C1439" s="4">
        <v>19</v>
      </c>
      <c r="D1439" s="8">
        <v>2.93</v>
      </c>
      <c r="E1439" s="4">
        <v>14</v>
      </c>
      <c r="F1439" s="8">
        <v>2.87</v>
      </c>
      <c r="G1439" s="4">
        <v>5</v>
      </c>
      <c r="H1439" s="8">
        <v>3.25</v>
      </c>
      <c r="I1439" s="4">
        <v>0</v>
      </c>
    </row>
    <row r="1440" spans="1:9" x14ac:dyDescent="0.2">
      <c r="A1440" s="2">
        <v>12</v>
      </c>
      <c r="B1440" s="1" t="s">
        <v>118</v>
      </c>
      <c r="C1440" s="4">
        <v>17</v>
      </c>
      <c r="D1440" s="8">
        <v>2.62</v>
      </c>
      <c r="E1440" s="4">
        <v>9</v>
      </c>
      <c r="F1440" s="8">
        <v>1.84</v>
      </c>
      <c r="G1440" s="4">
        <v>8</v>
      </c>
      <c r="H1440" s="8">
        <v>5.19</v>
      </c>
      <c r="I1440" s="4">
        <v>0</v>
      </c>
    </row>
    <row r="1441" spans="1:9" x14ac:dyDescent="0.2">
      <c r="A1441" s="2">
        <v>13</v>
      </c>
      <c r="B1441" s="1" t="s">
        <v>113</v>
      </c>
      <c r="C1441" s="4">
        <v>16</v>
      </c>
      <c r="D1441" s="8">
        <v>2.4700000000000002</v>
      </c>
      <c r="E1441" s="4">
        <v>16</v>
      </c>
      <c r="F1441" s="8">
        <v>3.28</v>
      </c>
      <c r="G1441" s="4">
        <v>0</v>
      </c>
      <c r="H1441" s="8">
        <v>0</v>
      </c>
      <c r="I1441" s="4">
        <v>0</v>
      </c>
    </row>
    <row r="1442" spans="1:9" x14ac:dyDescent="0.2">
      <c r="A1442" s="2">
        <v>14</v>
      </c>
      <c r="B1442" s="1" t="s">
        <v>131</v>
      </c>
      <c r="C1442" s="4">
        <v>15</v>
      </c>
      <c r="D1442" s="8">
        <v>2.31</v>
      </c>
      <c r="E1442" s="4">
        <v>7</v>
      </c>
      <c r="F1442" s="8">
        <v>1.43</v>
      </c>
      <c r="G1442" s="4">
        <v>8</v>
      </c>
      <c r="H1442" s="8">
        <v>5.19</v>
      </c>
      <c r="I1442" s="4">
        <v>0</v>
      </c>
    </row>
    <row r="1443" spans="1:9" x14ac:dyDescent="0.2">
      <c r="A1443" s="2">
        <v>15</v>
      </c>
      <c r="B1443" s="1" t="s">
        <v>112</v>
      </c>
      <c r="C1443" s="4">
        <v>13</v>
      </c>
      <c r="D1443" s="8">
        <v>2.0099999999999998</v>
      </c>
      <c r="E1443" s="4">
        <v>10</v>
      </c>
      <c r="F1443" s="8">
        <v>2.0499999999999998</v>
      </c>
      <c r="G1443" s="4">
        <v>0</v>
      </c>
      <c r="H1443" s="8">
        <v>0</v>
      </c>
      <c r="I1443" s="4">
        <v>0</v>
      </c>
    </row>
    <row r="1444" spans="1:9" x14ac:dyDescent="0.2">
      <c r="A1444" s="2">
        <v>16</v>
      </c>
      <c r="B1444" s="1" t="s">
        <v>102</v>
      </c>
      <c r="C1444" s="4">
        <v>11</v>
      </c>
      <c r="D1444" s="8">
        <v>1.7</v>
      </c>
      <c r="E1444" s="4">
        <v>11</v>
      </c>
      <c r="F1444" s="8">
        <v>2.25</v>
      </c>
      <c r="G1444" s="4">
        <v>0</v>
      </c>
      <c r="H1444" s="8">
        <v>0</v>
      </c>
      <c r="I1444" s="4">
        <v>0</v>
      </c>
    </row>
    <row r="1445" spans="1:9" x14ac:dyDescent="0.2">
      <c r="A1445" s="2">
        <v>16</v>
      </c>
      <c r="B1445" s="1" t="s">
        <v>107</v>
      </c>
      <c r="C1445" s="4">
        <v>11</v>
      </c>
      <c r="D1445" s="8">
        <v>1.7</v>
      </c>
      <c r="E1445" s="4">
        <v>5</v>
      </c>
      <c r="F1445" s="8">
        <v>1.02</v>
      </c>
      <c r="G1445" s="4">
        <v>6</v>
      </c>
      <c r="H1445" s="8">
        <v>3.9</v>
      </c>
      <c r="I1445" s="4">
        <v>0</v>
      </c>
    </row>
    <row r="1446" spans="1:9" x14ac:dyDescent="0.2">
      <c r="A1446" s="2">
        <v>16</v>
      </c>
      <c r="B1446" s="1" t="s">
        <v>122</v>
      </c>
      <c r="C1446" s="4">
        <v>11</v>
      </c>
      <c r="D1446" s="8">
        <v>1.7</v>
      </c>
      <c r="E1446" s="4">
        <v>10</v>
      </c>
      <c r="F1446" s="8">
        <v>2.0499999999999998</v>
      </c>
      <c r="G1446" s="4">
        <v>1</v>
      </c>
      <c r="H1446" s="8">
        <v>0.65</v>
      </c>
      <c r="I1446" s="4">
        <v>0</v>
      </c>
    </row>
    <row r="1447" spans="1:9" x14ac:dyDescent="0.2">
      <c r="A1447" s="2">
        <v>19</v>
      </c>
      <c r="B1447" s="1" t="s">
        <v>99</v>
      </c>
      <c r="C1447" s="4">
        <v>8</v>
      </c>
      <c r="D1447" s="8">
        <v>1.23</v>
      </c>
      <c r="E1447" s="4">
        <v>2</v>
      </c>
      <c r="F1447" s="8">
        <v>0.41</v>
      </c>
      <c r="G1447" s="4">
        <v>6</v>
      </c>
      <c r="H1447" s="8">
        <v>3.9</v>
      </c>
      <c r="I1447" s="4">
        <v>0</v>
      </c>
    </row>
    <row r="1448" spans="1:9" x14ac:dyDescent="0.2">
      <c r="A1448" s="2">
        <v>20</v>
      </c>
      <c r="B1448" s="1" t="s">
        <v>132</v>
      </c>
      <c r="C1448" s="4">
        <v>7</v>
      </c>
      <c r="D1448" s="8">
        <v>1.08</v>
      </c>
      <c r="E1448" s="4">
        <v>2</v>
      </c>
      <c r="F1448" s="8">
        <v>0.41</v>
      </c>
      <c r="G1448" s="4">
        <v>5</v>
      </c>
      <c r="H1448" s="8">
        <v>3.25</v>
      </c>
      <c r="I1448" s="4">
        <v>0</v>
      </c>
    </row>
    <row r="1449" spans="1:9" x14ac:dyDescent="0.2">
      <c r="A1449" s="2">
        <v>20</v>
      </c>
      <c r="B1449" s="1" t="s">
        <v>108</v>
      </c>
      <c r="C1449" s="4">
        <v>7</v>
      </c>
      <c r="D1449" s="8">
        <v>1.08</v>
      </c>
      <c r="E1449" s="4">
        <v>6</v>
      </c>
      <c r="F1449" s="8">
        <v>1.23</v>
      </c>
      <c r="G1449" s="4">
        <v>1</v>
      </c>
      <c r="H1449" s="8">
        <v>0.65</v>
      </c>
      <c r="I1449" s="4">
        <v>0</v>
      </c>
    </row>
    <row r="1450" spans="1:9" x14ac:dyDescent="0.2">
      <c r="A1450" s="2">
        <v>20</v>
      </c>
      <c r="B1450" s="1" t="s">
        <v>109</v>
      </c>
      <c r="C1450" s="4">
        <v>7</v>
      </c>
      <c r="D1450" s="8">
        <v>1.08</v>
      </c>
      <c r="E1450" s="4">
        <v>6</v>
      </c>
      <c r="F1450" s="8">
        <v>1.23</v>
      </c>
      <c r="G1450" s="4">
        <v>1</v>
      </c>
      <c r="H1450" s="8">
        <v>0.65</v>
      </c>
      <c r="I1450" s="4">
        <v>0</v>
      </c>
    </row>
    <row r="1451" spans="1:9" x14ac:dyDescent="0.2">
      <c r="A1451" s="1"/>
      <c r="C1451" s="4"/>
      <c r="D1451" s="8"/>
      <c r="E1451" s="4"/>
      <c r="F1451" s="8"/>
      <c r="G1451" s="4"/>
      <c r="H1451" s="8"/>
      <c r="I1451" s="4"/>
    </row>
    <row r="1452" spans="1:9" x14ac:dyDescent="0.2">
      <c r="A1452" s="1" t="s">
        <v>65</v>
      </c>
      <c r="C1452" s="4"/>
      <c r="D1452" s="8"/>
      <c r="E1452" s="4"/>
      <c r="F1452" s="8"/>
      <c r="G1452" s="4"/>
      <c r="H1452" s="8"/>
      <c r="I1452" s="4"/>
    </row>
    <row r="1453" spans="1:9" x14ac:dyDescent="0.2">
      <c r="A1453" s="2">
        <v>1</v>
      </c>
      <c r="B1453" s="1" t="s">
        <v>107</v>
      </c>
      <c r="C1453" s="4">
        <v>75</v>
      </c>
      <c r="D1453" s="8">
        <v>13.54</v>
      </c>
      <c r="E1453" s="4">
        <v>65</v>
      </c>
      <c r="F1453" s="8">
        <v>17.239999999999998</v>
      </c>
      <c r="G1453" s="4">
        <v>9</v>
      </c>
      <c r="H1453" s="8">
        <v>5.33</v>
      </c>
      <c r="I1453" s="4">
        <v>1</v>
      </c>
    </row>
    <row r="1454" spans="1:9" x14ac:dyDescent="0.2">
      <c r="A1454" s="2">
        <v>2</v>
      </c>
      <c r="B1454" s="1" t="s">
        <v>111</v>
      </c>
      <c r="C1454" s="4">
        <v>47</v>
      </c>
      <c r="D1454" s="8">
        <v>8.48</v>
      </c>
      <c r="E1454" s="4">
        <v>46</v>
      </c>
      <c r="F1454" s="8">
        <v>12.2</v>
      </c>
      <c r="G1454" s="4">
        <v>1</v>
      </c>
      <c r="H1454" s="8">
        <v>0.59</v>
      </c>
      <c r="I1454" s="4">
        <v>0</v>
      </c>
    </row>
    <row r="1455" spans="1:9" x14ac:dyDescent="0.2">
      <c r="A1455" s="2">
        <v>3</v>
      </c>
      <c r="B1455" s="1" t="s">
        <v>94</v>
      </c>
      <c r="C1455" s="4">
        <v>38</v>
      </c>
      <c r="D1455" s="8">
        <v>6.86</v>
      </c>
      <c r="E1455" s="4">
        <v>22</v>
      </c>
      <c r="F1455" s="8">
        <v>5.84</v>
      </c>
      <c r="G1455" s="4">
        <v>16</v>
      </c>
      <c r="H1455" s="8">
        <v>9.4700000000000006</v>
      </c>
      <c r="I1455" s="4">
        <v>0</v>
      </c>
    </row>
    <row r="1456" spans="1:9" x14ac:dyDescent="0.2">
      <c r="A1456" s="2">
        <v>3</v>
      </c>
      <c r="B1456" s="1" t="s">
        <v>110</v>
      </c>
      <c r="C1456" s="4">
        <v>38</v>
      </c>
      <c r="D1456" s="8">
        <v>6.86</v>
      </c>
      <c r="E1456" s="4">
        <v>33</v>
      </c>
      <c r="F1456" s="8">
        <v>8.75</v>
      </c>
      <c r="G1456" s="4">
        <v>5</v>
      </c>
      <c r="H1456" s="8">
        <v>2.96</v>
      </c>
      <c r="I1456" s="4">
        <v>0</v>
      </c>
    </row>
    <row r="1457" spans="1:9" x14ac:dyDescent="0.2">
      <c r="A1457" s="2">
        <v>5</v>
      </c>
      <c r="B1457" s="1" t="s">
        <v>95</v>
      </c>
      <c r="C1457" s="4">
        <v>36</v>
      </c>
      <c r="D1457" s="8">
        <v>6.5</v>
      </c>
      <c r="E1457" s="4">
        <v>24</v>
      </c>
      <c r="F1457" s="8">
        <v>6.37</v>
      </c>
      <c r="G1457" s="4">
        <v>12</v>
      </c>
      <c r="H1457" s="8">
        <v>7.1</v>
      </c>
      <c r="I1457" s="4">
        <v>0</v>
      </c>
    </row>
    <row r="1458" spans="1:9" x14ac:dyDescent="0.2">
      <c r="A1458" s="2">
        <v>5</v>
      </c>
      <c r="B1458" s="1" t="s">
        <v>112</v>
      </c>
      <c r="C1458" s="4">
        <v>36</v>
      </c>
      <c r="D1458" s="8">
        <v>6.5</v>
      </c>
      <c r="E1458" s="4">
        <v>24</v>
      </c>
      <c r="F1458" s="8">
        <v>6.37</v>
      </c>
      <c r="G1458" s="4">
        <v>9</v>
      </c>
      <c r="H1458" s="8">
        <v>5.33</v>
      </c>
      <c r="I1458" s="4">
        <v>3</v>
      </c>
    </row>
    <row r="1459" spans="1:9" x14ac:dyDescent="0.2">
      <c r="A1459" s="2">
        <v>7</v>
      </c>
      <c r="B1459" s="1" t="s">
        <v>105</v>
      </c>
      <c r="C1459" s="4">
        <v>33</v>
      </c>
      <c r="D1459" s="8">
        <v>5.96</v>
      </c>
      <c r="E1459" s="4">
        <v>21</v>
      </c>
      <c r="F1459" s="8">
        <v>5.57</v>
      </c>
      <c r="G1459" s="4">
        <v>12</v>
      </c>
      <c r="H1459" s="8">
        <v>7.1</v>
      </c>
      <c r="I1459" s="4">
        <v>0</v>
      </c>
    </row>
    <row r="1460" spans="1:9" x14ac:dyDescent="0.2">
      <c r="A1460" s="2">
        <v>8</v>
      </c>
      <c r="B1460" s="1" t="s">
        <v>103</v>
      </c>
      <c r="C1460" s="4">
        <v>26</v>
      </c>
      <c r="D1460" s="8">
        <v>4.6900000000000004</v>
      </c>
      <c r="E1460" s="4">
        <v>22</v>
      </c>
      <c r="F1460" s="8">
        <v>5.84</v>
      </c>
      <c r="G1460" s="4">
        <v>4</v>
      </c>
      <c r="H1460" s="8">
        <v>2.37</v>
      </c>
      <c r="I1460" s="4">
        <v>0</v>
      </c>
    </row>
    <row r="1461" spans="1:9" x14ac:dyDescent="0.2">
      <c r="A1461" s="2">
        <v>9</v>
      </c>
      <c r="B1461" s="1" t="s">
        <v>96</v>
      </c>
      <c r="C1461" s="4">
        <v>25</v>
      </c>
      <c r="D1461" s="8">
        <v>4.51</v>
      </c>
      <c r="E1461" s="4">
        <v>12</v>
      </c>
      <c r="F1461" s="8">
        <v>3.18</v>
      </c>
      <c r="G1461" s="4">
        <v>13</v>
      </c>
      <c r="H1461" s="8">
        <v>7.69</v>
      </c>
      <c r="I1461" s="4">
        <v>0</v>
      </c>
    </row>
    <row r="1462" spans="1:9" x14ac:dyDescent="0.2">
      <c r="A1462" s="2">
        <v>10</v>
      </c>
      <c r="B1462" s="1" t="s">
        <v>104</v>
      </c>
      <c r="C1462" s="4">
        <v>22</v>
      </c>
      <c r="D1462" s="8">
        <v>3.97</v>
      </c>
      <c r="E1462" s="4">
        <v>15</v>
      </c>
      <c r="F1462" s="8">
        <v>3.98</v>
      </c>
      <c r="G1462" s="4">
        <v>7</v>
      </c>
      <c r="H1462" s="8">
        <v>4.1399999999999997</v>
      </c>
      <c r="I1462" s="4">
        <v>0</v>
      </c>
    </row>
    <row r="1463" spans="1:9" x14ac:dyDescent="0.2">
      <c r="A1463" s="2">
        <v>11</v>
      </c>
      <c r="B1463" s="1" t="s">
        <v>109</v>
      </c>
      <c r="C1463" s="4">
        <v>20</v>
      </c>
      <c r="D1463" s="8">
        <v>3.61</v>
      </c>
      <c r="E1463" s="4">
        <v>8</v>
      </c>
      <c r="F1463" s="8">
        <v>2.12</v>
      </c>
      <c r="G1463" s="4">
        <v>12</v>
      </c>
      <c r="H1463" s="8">
        <v>7.1</v>
      </c>
      <c r="I1463" s="4">
        <v>0</v>
      </c>
    </row>
    <row r="1464" spans="1:9" x14ac:dyDescent="0.2">
      <c r="A1464" s="2">
        <v>12</v>
      </c>
      <c r="B1464" s="1" t="s">
        <v>113</v>
      </c>
      <c r="C1464" s="4">
        <v>17</v>
      </c>
      <c r="D1464" s="8">
        <v>3.07</v>
      </c>
      <c r="E1464" s="4">
        <v>17</v>
      </c>
      <c r="F1464" s="8">
        <v>4.51</v>
      </c>
      <c r="G1464" s="4">
        <v>0</v>
      </c>
      <c r="H1464" s="8">
        <v>0</v>
      </c>
      <c r="I1464" s="4">
        <v>0</v>
      </c>
    </row>
    <row r="1465" spans="1:9" x14ac:dyDescent="0.2">
      <c r="A1465" s="2">
        <v>13</v>
      </c>
      <c r="B1465" s="1" t="s">
        <v>134</v>
      </c>
      <c r="C1465" s="4">
        <v>12</v>
      </c>
      <c r="D1465" s="8">
        <v>2.17</v>
      </c>
      <c r="E1465" s="4">
        <v>5</v>
      </c>
      <c r="F1465" s="8">
        <v>1.33</v>
      </c>
      <c r="G1465" s="4">
        <v>7</v>
      </c>
      <c r="H1465" s="8">
        <v>4.1399999999999997</v>
      </c>
      <c r="I1465" s="4">
        <v>0</v>
      </c>
    </row>
    <row r="1466" spans="1:9" x14ac:dyDescent="0.2">
      <c r="A1466" s="2">
        <v>14</v>
      </c>
      <c r="B1466" s="1" t="s">
        <v>102</v>
      </c>
      <c r="C1466" s="4">
        <v>10</v>
      </c>
      <c r="D1466" s="8">
        <v>1.81</v>
      </c>
      <c r="E1466" s="4">
        <v>9</v>
      </c>
      <c r="F1466" s="8">
        <v>2.39</v>
      </c>
      <c r="G1466" s="4">
        <v>1</v>
      </c>
      <c r="H1466" s="8">
        <v>0.59</v>
      </c>
      <c r="I1466" s="4">
        <v>0</v>
      </c>
    </row>
    <row r="1467" spans="1:9" x14ac:dyDescent="0.2">
      <c r="A1467" s="2">
        <v>15</v>
      </c>
      <c r="B1467" s="1" t="s">
        <v>106</v>
      </c>
      <c r="C1467" s="4">
        <v>9</v>
      </c>
      <c r="D1467" s="8">
        <v>1.62</v>
      </c>
      <c r="E1467" s="4">
        <v>5</v>
      </c>
      <c r="F1467" s="8">
        <v>1.33</v>
      </c>
      <c r="G1467" s="4">
        <v>4</v>
      </c>
      <c r="H1467" s="8">
        <v>2.37</v>
      </c>
      <c r="I1467" s="4">
        <v>0</v>
      </c>
    </row>
    <row r="1468" spans="1:9" x14ac:dyDescent="0.2">
      <c r="A1468" s="2">
        <v>16</v>
      </c>
      <c r="B1468" s="1" t="s">
        <v>97</v>
      </c>
      <c r="C1468" s="4">
        <v>8</v>
      </c>
      <c r="D1468" s="8">
        <v>1.44</v>
      </c>
      <c r="E1468" s="4">
        <v>2</v>
      </c>
      <c r="F1468" s="8">
        <v>0.53</v>
      </c>
      <c r="G1468" s="4">
        <v>6</v>
      </c>
      <c r="H1468" s="8">
        <v>3.55</v>
      </c>
      <c r="I1468" s="4">
        <v>0</v>
      </c>
    </row>
    <row r="1469" spans="1:9" x14ac:dyDescent="0.2">
      <c r="A1469" s="2">
        <v>16</v>
      </c>
      <c r="B1469" s="1" t="s">
        <v>108</v>
      </c>
      <c r="C1469" s="4">
        <v>8</v>
      </c>
      <c r="D1469" s="8">
        <v>1.44</v>
      </c>
      <c r="E1469" s="4">
        <v>6</v>
      </c>
      <c r="F1469" s="8">
        <v>1.59</v>
      </c>
      <c r="G1469" s="4">
        <v>2</v>
      </c>
      <c r="H1469" s="8">
        <v>1.18</v>
      </c>
      <c r="I1469" s="4">
        <v>0</v>
      </c>
    </row>
    <row r="1470" spans="1:9" x14ac:dyDescent="0.2">
      <c r="A1470" s="2">
        <v>18</v>
      </c>
      <c r="B1470" s="1" t="s">
        <v>122</v>
      </c>
      <c r="C1470" s="4">
        <v>7</v>
      </c>
      <c r="D1470" s="8">
        <v>1.26</v>
      </c>
      <c r="E1470" s="4">
        <v>5</v>
      </c>
      <c r="F1470" s="8">
        <v>1.33</v>
      </c>
      <c r="G1470" s="4">
        <v>2</v>
      </c>
      <c r="H1470" s="8">
        <v>1.18</v>
      </c>
      <c r="I1470" s="4">
        <v>0</v>
      </c>
    </row>
    <row r="1471" spans="1:9" x14ac:dyDescent="0.2">
      <c r="A1471" s="2">
        <v>19</v>
      </c>
      <c r="B1471" s="1" t="s">
        <v>126</v>
      </c>
      <c r="C1471" s="4">
        <v>6</v>
      </c>
      <c r="D1471" s="8">
        <v>1.08</v>
      </c>
      <c r="E1471" s="4">
        <v>5</v>
      </c>
      <c r="F1471" s="8">
        <v>1.33</v>
      </c>
      <c r="G1471" s="4">
        <v>1</v>
      </c>
      <c r="H1471" s="8">
        <v>0.59</v>
      </c>
      <c r="I1471" s="4">
        <v>0</v>
      </c>
    </row>
    <row r="1472" spans="1:9" x14ac:dyDescent="0.2">
      <c r="A1472" s="2">
        <v>19</v>
      </c>
      <c r="B1472" s="1" t="s">
        <v>118</v>
      </c>
      <c r="C1472" s="4">
        <v>6</v>
      </c>
      <c r="D1472" s="8">
        <v>1.08</v>
      </c>
      <c r="E1472" s="4">
        <v>2</v>
      </c>
      <c r="F1472" s="8">
        <v>0.53</v>
      </c>
      <c r="G1472" s="4">
        <v>4</v>
      </c>
      <c r="H1472" s="8">
        <v>2.37</v>
      </c>
      <c r="I1472" s="4">
        <v>0</v>
      </c>
    </row>
    <row r="1473" spans="1:9" x14ac:dyDescent="0.2">
      <c r="A1473" s="1"/>
      <c r="C1473" s="4"/>
      <c r="D1473" s="8"/>
      <c r="E1473" s="4"/>
      <c r="F1473" s="8"/>
      <c r="G1473" s="4"/>
      <c r="H1473" s="8"/>
      <c r="I1473" s="4"/>
    </row>
    <row r="1474" spans="1:9" x14ac:dyDescent="0.2">
      <c r="A1474" s="1" t="s">
        <v>66</v>
      </c>
      <c r="C1474" s="4"/>
      <c r="D1474" s="8"/>
      <c r="E1474" s="4"/>
      <c r="F1474" s="8"/>
      <c r="G1474" s="4"/>
      <c r="H1474" s="8"/>
      <c r="I1474" s="4"/>
    </row>
    <row r="1475" spans="1:9" x14ac:dyDescent="0.2">
      <c r="A1475" s="2">
        <v>1</v>
      </c>
      <c r="B1475" s="1" t="s">
        <v>111</v>
      </c>
      <c r="C1475" s="4">
        <v>81</v>
      </c>
      <c r="D1475" s="8">
        <v>12.14</v>
      </c>
      <c r="E1475" s="4">
        <v>66</v>
      </c>
      <c r="F1475" s="8">
        <v>17.79</v>
      </c>
      <c r="G1475" s="4">
        <v>15</v>
      </c>
      <c r="H1475" s="8">
        <v>5.15</v>
      </c>
      <c r="I1475" s="4">
        <v>0</v>
      </c>
    </row>
    <row r="1476" spans="1:9" x14ac:dyDescent="0.2">
      <c r="A1476" s="2">
        <v>2</v>
      </c>
      <c r="B1476" s="1" t="s">
        <v>110</v>
      </c>
      <c r="C1476" s="4">
        <v>79</v>
      </c>
      <c r="D1476" s="8">
        <v>11.84</v>
      </c>
      <c r="E1476" s="4">
        <v>73</v>
      </c>
      <c r="F1476" s="8">
        <v>19.68</v>
      </c>
      <c r="G1476" s="4">
        <v>6</v>
      </c>
      <c r="H1476" s="8">
        <v>2.06</v>
      </c>
      <c r="I1476" s="4">
        <v>0</v>
      </c>
    </row>
    <row r="1477" spans="1:9" x14ac:dyDescent="0.2">
      <c r="A1477" s="2">
        <v>3</v>
      </c>
      <c r="B1477" s="1" t="s">
        <v>94</v>
      </c>
      <c r="C1477" s="4">
        <v>56</v>
      </c>
      <c r="D1477" s="8">
        <v>8.4</v>
      </c>
      <c r="E1477" s="4">
        <v>16</v>
      </c>
      <c r="F1477" s="8">
        <v>4.3099999999999996</v>
      </c>
      <c r="G1477" s="4">
        <v>40</v>
      </c>
      <c r="H1477" s="8">
        <v>13.75</v>
      </c>
      <c r="I1477" s="4">
        <v>0</v>
      </c>
    </row>
    <row r="1478" spans="1:9" x14ac:dyDescent="0.2">
      <c r="A1478" s="2">
        <v>4</v>
      </c>
      <c r="B1478" s="1" t="s">
        <v>112</v>
      </c>
      <c r="C1478" s="4">
        <v>37</v>
      </c>
      <c r="D1478" s="8">
        <v>5.55</v>
      </c>
      <c r="E1478" s="4">
        <v>30</v>
      </c>
      <c r="F1478" s="8">
        <v>8.09</v>
      </c>
      <c r="G1478" s="4">
        <v>7</v>
      </c>
      <c r="H1478" s="8">
        <v>2.41</v>
      </c>
      <c r="I1478" s="4">
        <v>0</v>
      </c>
    </row>
    <row r="1479" spans="1:9" x14ac:dyDescent="0.2">
      <c r="A1479" s="2">
        <v>5</v>
      </c>
      <c r="B1479" s="1" t="s">
        <v>107</v>
      </c>
      <c r="C1479" s="4">
        <v>36</v>
      </c>
      <c r="D1479" s="8">
        <v>5.4</v>
      </c>
      <c r="E1479" s="4">
        <v>12</v>
      </c>
      <c r="F1479" s="8">
        <v>3.23</v>
      </c>
      <c r="G1479" s="4">
        <v>24</v>
      </c>
      <c r="H1479" s="8">
        <v>8.25</v>
      </c>
      <c r="I1479" s="4">
        <v>0</v>
      </c>
    </row>
    <row r="1480" spans="1:9" x14ac:dyDescent="0.2">
      <c r="A1480" s="2">
        <v>6</v>
      </c>
      <c r="B1480" s="1" t="s">
        <v>95</v>
      </c>
      <c r="C1480" s="4">
        <v>34</v>
      </c>
      <c r="D1480" s="8">
        <v>5.0999999999999996</v>
      </c>
      <c r="E1480" s="4">
        <v>13</v>
      </c>
      <c r="F1480" s="8">
        <v>3.5</v>
      </c>
      <c r="G1480" s="4">
        <v>21</v>
      </c>
      <c r="H1480" s="8">
        <v>7.22</v>
      </c>
      <c r="I1480" s="4">
        <v>0</v>
      </c>
    </row>
    <row r="1481" spans="1:9" x14ac:dyDescent="0.2">
      <c r="A1481" s="2">
        <v>7</v>
      </c>
      <c r="B1481" s="1" t="s">
        <v>104</v>
      </c>
      <c r="C1481" s="4">
        <v>33</v>
      </c>
      <c r="D1481" s="8">
        <v>4.95</v>
      </c>
      <c r="E1481" s="4">
        <v>23</v>
      </c>
      <c r="F1481" s="8">
        <v>6.2</v>
      </c>
      <c r="G1481" s="4">
        <v>10</v>
      </c>
      <c r="H1481" s="8">
        <v>3.44</v>
      </c>
      <c r="I1481" s="4">
        <v>0</v>
      </c>
    </row>
    <row r="1482" spans="1:9" x14ac:dyDescent="0.2">
      <c r="A1482" s="2">
        <v>8</v>
      </c>
      <c r="B1482" s="1" t="s">
        <v>105</v>
      </c>
      <c r="C1482" s="4">
        <v>31</v>
      </c>
      <c r="D1482" s="8">
        <v>4.6500000000000004</v>
      </c>
      <c r="E1482" s="4">
        <v>18</v>
      </c>
      <c r="F1482" s="8">
        <v>4.8499999999999996</v>
      </c>
      <c r="G1482" s="4">
        <v>13</v>
      </c>
      <c r="H1482" s="8">
        <v>4.47</v>
      </c>
      <c r="I1482" s="4">
        <v>0</v>
      </c>
    </row>
    <row r="1483" spans="1:9" x14ac:dyDescent="0.2">
      <c r="A1483" s="2">
        <v>9</v>
      </c>
      <c r="B1483" s="1" t="s">
        <v>96</v>
      </c>
      <c r="C1483" s="4">
        <v>26</v>
      </c>
      <c r="D1483" s="8">
        <v>3.9</v>
      </c>
      <c r="E1483" s="4">
        <v>6</v>
      </c>
      <c r="F1483" s="8">
        <v>1.62</v>
      </c>
      <c r="G1483" s="4">
        <v>20</v>
      </c>
      <c r="H1483" s="8">
        <v>6.87</v>
      </c>
      <c r="I1483" s="4">
        <v>0</v>
      </c>
    </row>
    <row r="1484" spans="1:9" x14ac:dyDescent="0.2">
      <c r="A1484" s="2">
        <v>10</v>
      </c>
      <c r="B1484" s="1" t="s">
        <v>113</v>
      </c>
      <c r="C1484" s="4">
        <v>24</v>
      </c>
      <c r="D1484" s="8">
        <v>3.6</v>
      </c>
      <c r="E1484" s="4">
        <v>22</v>
      </c>
      <c r="F1484" s="8">
        <v>5.93</v>
      </c>
      <c r="G1484" s="4">
        <v>2</v>
      </c>
      <c r="H1484" s="8">
        <v>0.69</v>
      </c>
      <c r="I1484" s="4">
        <v>0</v>
      </c>
    </row>
    <row r="1485" spans="1:9" x14ac:dyDescent="0.2">
      <c r="A1485" s="2">
        <v>11</v>
      </c>
      <c r="B1485" s="1" t="s">
        <v>103</v>
      </c>
      <c r="C1485" s="4">
        <v>22</v>
      </c>
      <c r="D1485" s="8">
        <v>3.3</v>
      </c>
      <c r="E1485" s="4">
        <v>13</v>
      </c>
      <c r="F1485" s="8">
        <v>3.5</v>
      </c>
      <c r="G1485" s="4">
        <v>9</v>
      </c>
      <c r="H1485" s="8">
        <v>3.09</v>
      </c>
      <c r="I1485" s="4">
        <v>0</v>
      </c>
    </row>
    <row r="1486" spans="1:9" x14ac:dyDescent="0.2">
      <c r="A1486" s="2">
        <v>12</v>
      </c>
      <c r="B1486" s="1" t="s">
        <v>109</v>
      </c>
      <c r="C1486" s="4">
        <v>16</v>
      </c>
      <c r="D1486" s="8">
        <v>2.4</v>
      </c>
      <c r="E1486" s="4">
        <v>9</v>
      </c>
      <c r="F1486" s="8">
        <v>2.4300000000000002</v>
      </c>
      <c r="G1486" s="4">
        <v>7</v>
      </c>
      <c r="H1486" s="8">
        <v>2.41</v>
      </c>
      <c r="I1486" s="4">
        <v>0</v>
      </c>
    </row>
    <row r="1487" spans="1:9" x14ac:dyDescent="0.2">
      <c r="A1487" s="2">
        <v>13</v>
      </c>
      <c r="B1487" s="1" t="s">
        <v>97</v>
      </c>
      <c r="C1487" s="4">
        <v>13</v>
      </c>
      <c r="D1487" s="8">
        <v>1.95</v>
      </c>
      <c r="E1487" s="4">
        <v>2</v>
      </c>
      <c r="F1487" s="8">
        <v>0.54</v>
      </c>
      <c r="G1487" s="4">
        <v>11</v>
      </c>
      <c r="H1487" s="8">
        <v>3.78</v>
      </c>
      <c r="I1487" s="4">
        <v>0</v>
      </c>
    </row>
    <row r="1488" spans="1:9" x14ac:dyDescent="0.2">
      <c r="A1488" s="2">
        <v>13</v>
      </c>
      <c r="B1488" s="1" t="s">
        <v>122</v>
      </c>
      <c r="C1488" s="4">
        <v>13</v>
      </c>
      <c r="D1488" s="8">
        <v>1.95</v>
      </c>
      <c r="E1488" s="4">
        <v>11</v>
      </c>
      <c r="F1488" s="8">
        <v>2.96</v>
      </c>
      <c r="G1488" s="4">
        <v>2</v>
      </c>
      <c r="H1488" s="8">
        <v>0.69</v>
      </c>
      <c r="I1488" s="4">
        <v>0</v>
      </c>
    </row>
    <row r="1489" spans="1:9" x14ac:dyDescent="0.2">
      <c r="A1489" s="2">
        <v>15</v>
      </c>
      <c r="B1489" s="1" t="s">
        <v>108</v>
      </c>
      <c r="C1489" s="4">
        <v>12</v>
      </c>
      <c r="D1489" s="8">
        <v>1.8</v>
      </c>
      <c r="E1489" s="4">
        <v>10</v>
      </c>
      <c r="F1489" s="8">
        <v>2.7</v>
      </c>
      <c r="G1489" s="4">
        <v>2</v>
      </c>
      <c r="H1489" s="8">
        <v>0.69</v>
      </c>
      <c r="I1489" s="4">
        <v>0</v>
      </c>
    </row>
    <row r="1490" spans="1:9" x14ac:dyDescent="0.2">
      <c r="A1490" s="2">
        <v>16</v>
      </c>
      <c r="B1490" s="1" t="s">
        <v>98</v>
      </c>
      <c r="C1490" s="4">
        <v>11</v>
      </c>
      <c r="D1490" s="8">
        <v>1.65</v>
      </c>
      <c r="E1490" s="4">
        <v>5</v>
      </c>
      <c r="F1490" s="8">
        <v>1.35</v>
      </c>
      <c r="G1490" s="4">
        <v>6</v>
      </c>
      <c r="H1490" s="8">
        <v>2.06</v>
      </c>
      <c r="I1490" s="4">
        <v>0</v>
      </c>
    </row>
    <row r="1491" spans="1:9" x14ac:dyDescent="0.2">
      <c r="A1491" s="2">
        <v>17</v>
      </c>
      <c r="B1491" s="1" t="s">
        <v>102</v>
      </c>
      <c r="C1491" s="4">
        <v>10</v>
      </c>
      <c r="D1491" s="8">
        <v>1.5</v>
      </c>
      <c r="E1491" s="4">
        <v>3</v>
      </c>
      <c r="F1491" s="8">
        <v>0.81</v>
      </c>
      <c r="G1491" s="4">
        <v>7</v>
      </c>
      <c r="H1491" s="8">
        <v>2.41</v>
      </c>
      <c r="I1491" s="4">
        <v>0</v>
      </c>
    </row>
    <row r="1492" spans="1:9" x14ac:dyDescent="0.2">
      <c r="A1492" s="2">
        <v>17</v>
      </c>
      <c r="B1492" s="1" t="s">
        <v>106</v>
      </c>
      <c r="C1492" s="4">
        <v>10</v>
      </c>
      <c r="D1492" s="8">
        <v>1.5</v>
      </c>
      <c r="E1492" s="4">
        <v>4</v>
      </c>
      <c r="F1492" s="8">
        <v>1.08</v>
      </c>
      <c r="G1492" s="4">
        <v>6</v>
      </c>
      <c r="H1492" s="8">
        <v>2.06</v>
      </c>
      <c r="I1492" s="4">
        <v>0</v>
      </c>
    </row>
    <row r="1493" spans="1:9" x14ac:dyDescent="0.2">
      <c r="A1493" s="2">
        <v>17</v>
      </c>
      <c r="B1493" s="1" t="s">
        <v>114</v>
      </c>
      <c r="C1493" s="4">
        <v>10</v>
      </c>
      <c r="D1493" s="8">
        <v>1.5</v>
      </c>
      <c r="E1493" s="4">
        <v>2</v>
      </c>
      <c r="F1493" s="8">
        <v>0.54</v>
      </c>
      <c r="G1493" s="4">
        <v>8</v>
      </c>
      <c r="H1493" s="8">
        <v>2.75</v>
      </c>
      <c r="I1493" s="4">
        <v>0</v>
      </c>
    </row>
    <row r="1494" spans="1:9" x14ac:dyDescent="0.2">
      <c r="A1494" s="2">
        <v>20</v>
      </c>
      <c r="B1494" s="1" t="s">
        <v>99</v>
      </c>
      <c r="C1494" s="4">
        <v>8</v>
      </c>
      <c r="D1494" s="8">
        <v>1.2</v>
      </c>
      <c r="E1494" s="4">
        <v>0</v>
      </c>
      <c r="F1494" s="8">
        <v>0</v>
      </c>
      <c r="G1494" s="4">
        <v>8</v>
      </c>
      <c r="H1494" s="8">
        <v>2.75</v>
      </c>
      <c r="I1494" s="4">
        <v>0</v>
      </c>
    </row>
    <row r="1495" spans="1:9" x14ac:dyDescent="0.2">
      <c r="A1495" s="2">
        <v>20</v>
      </c>
      <c r="B1495" s="1" t="s">
        <v>135</v>
      </c>
      <c r="C1495" s="4">
        <v>8</v>
      </c>
      <c r="D1495" s="8">
        <v>1.2</v>
      </c>
      <c r="E1495" s="4">
        <v>3</v>
      </c>
      <c r="F1495" s="8">
        <v>0.81</v>
      </c>
      <c r="G1495" s="4">
        <v>4</v>
      </c>
      <c r="H1495" s="8">
        <v>1.37</v>
      </c>
      <c r="I1495" s="4">
        <v>0</v>
      </c>
    </row>
    <row r="1496" spans="1:9" x14ac:dyDescent="0.2">
      <c r="A1496" s="2">
        <v>20</v>
      </c>
      <c r="B1496" s="1" t="s">
        <v>115</v>
      </c>
      <c r="C1496" s="4">
        <v>8</v>
      </c>
      <c r="D1496" s="8">
        <v>1.2</v>
      </c>
      <c r="E1496" s="4">
        <v>4</v>
      </c>
      <c r="F1496" s="8">
        <v>1.08</v>
      </c>
      <c r="G1496" s="4">
        <v>4</v>
      </c>
      <c r="H1496" s="8">
        <v>1.37</v>
      </c>
      <c r="I1496" s="4">
        <v>0</v>
      </c>
    </row>
    <row r="1497" spans="1:9" x14ac:dyDescent="0.2">
      <c r="A1497" s="1"/>
      <c r="C1497" s="4"/>
      <c r="D1497" s="8"/>
      <c r="E1497" s="4"/>
      <c r="F1497" s="8"/>
      <c r="G1497" s="4"/>
      <c r="H1497" s="8"/>
      <c r="I1497" s="4"/>
    </row>
    <row r="1498" spans="1:9" x14ac:dyDescent="0.2">
      <c r="A1498" s="1" t="s">
        <v>67</v>
      </c>
      <c r="C1498" s="4"/>
      <c r="D1498" s="8"/>
      <c r="E1498" s="4"/>
      <c r="F1498" s="8"/>
      <c r="G1498" s="4"/>
      <c r="H1498" s="8"/>
      <c r="I1498" s="4"/>
    </row>
    <row r="1499" spans="1:9" x14ac:dyDescent="0.2">
      <c r="A1499" s="2">
        <v>1</v>
      </c>
      <c r="B1499" s="1" t="s">
        <v>111</v>
      </c>
      <c r="C1499" s="4">
        <v>73</v>
      </c>
      <c r="D1499" s="8">
        <v>10.74</v>
      </c>
      <c r="E1499" s="4">
        <v>63</v>
      </c>
      <c r="F1499" s="8">
        <v>16.489999999999998</v>
      </c>
      <c r="G1499" s="4">
        <v>10</v>
      </c>
      <c r="H1499" s="8">
        <v>3.46</v>
      </c>
      <c r="I1499" s="4">
        <v>0</v>
      </c>
    </row>
    <row r="1500" spans="1:9" x14ac:dyDescent="0.2">
      <c r="A1500" s="2">
        <v>2</v>
      </c>
      <c r="B1500" s="1" t="s">
        <v>95</v>
      </c>
      <c r="C1500" s="4">
        <v>59</v>
      </c>
      <c r="D1500" s="8">
        <v>8.68</v>
      </c>
      <c r="E1500" s="4">
        <v>23</v>
      </c>
      <c r="F1500" s="8">
        <v>6.02</v>
      </c>
      <c r="G1500" s="4">
        <v>36</v>
      </c>
      <c r="H1500" s="8">
        <v>12.46</v>
      </c>
      <c r="I1500" s="4">
        <v>0</v>
      </c>
    </row>
    <row r="1501" spans="1:9" x14ac:dyDescent="0.2">
      <c r="A1501" s="2">
        <v>3</v>
      </c>
      <c r="B1501" s="1" t="s">
        <v>110</v>
      </c>
      <c r="C1501" s="4">
        <v>55</v>
      </c>
      <c r="D1501" s="8">
        <v>8.09</v>
      </c>
      <c r="E1501" s="4">
        <v>49</v>
      </c>
      <c r="F1501" s="8">
        <v>12.83</v>
      </c>
      <c r="G1501" s="4">
        <v>6</v>
      </c>
      <c r="H1501" s="8">
        <v>2.08</v>
      </c>
      <c r="I1501" s="4">
        <v>0</v>
      </c>
    </row>
    <row r="1502" spans="1:9" x14ac:dyDescent="0.2">
      <c r="A1502" s="2">
        <v>4</v>
      </c>
      <c r="B1502" s="1" t="s">
        <v>94</v>
      </c>
      <c r="C1502" s="4">
        <v>45</v>
      </c>
      <c r="D1502" s="8">
        <v>6.62</v>
      </c>
      <c r="E1502" s="4">
        <v>11</v>
      </c>
      <c r="F1502" s="8">
        <v>2.88</v>
      </c>
      <c r="G1502" s="4">
        <v>34</v>
      </c>
      <c r="H1502" s="8">
        <v>11.76</v>
      </c>
      <c r="I1502" s="4">
        <v>0</v>
      </c>
    </row>
    <row r="1503" spans="1:9" x14ac:dyDescent="0.2">
      <c r="A1503" s="2">
        <v>5</v>
      </c>
      <c r="B1503" s="1" t="s">
        <v>105</v>
      </c>
      <c r="C1503" s="4">
        <v>41</v>
      </c>
      <c r="D1503" s="8">
        <v>6.03</v>
      </c>
      <c r="E1503" s="4">
        <v>25</v>
      </c>
      <c r="F1503" s="8">
        <v>6.54</v>
      </c>
      <c r="G1503" s="4">
        <v>16</v>
      </c>
      <c r="H1503" s="8">
        <v>5.54</v>
      </c>
      <c r="I1503" s="4">
        <v>0</v>
      </c>
    </row>
    <row r="1504" spans="1:9" x14ac:dyDescent="0.2">
      <c r="A1504" s="2">
        <v>6</v>
      </c>
      <c r="B1504" s="1" t="s">
        <v>112</v>
      </c>
      <c r="C1504" s="4">
        <v>35</v>
      </c>
      <c r="D1504" s="8">
        <v>5.15</v>
      </c>
      <c r="E1504" s="4">
        <v>27</v>
      </c>
      <c r="F1504" s="8">
        <v>7.07</v>
      </c>
      <c r="G1504" s="4">
        <v>6</v>
      </c>
      <c r="H1504" s="8">
        <v>2.08</v>
      </c>
      <c r="I1504" s="4">
        <v>1</v>
      </c>
    </row>
    <row r="1505" spans="1:9" x14ac:dyDescent="0.2">
      <c r="A1505" s="2">
        <v>7</v>
      </c>
      <c r="B1505" s="1" t="s">
        <v>107</v>
      </c>
      <c r="C1505" s="4">
        <v>32</v>
      </c>
      <c r="D1505" s="8">
        <v>4.71</v>
      </c>
      <c r="E1505" s="4">
        <v>20</v>
      </c>
      <c r="F1505" s="8">
        <v>5.24</v>
      </c>
      <c r="G1505" s="4">
        <v>12</v>
      </c>
      <c r="H1505" s="8">
        <v>4.1500000000000004</v>
      </c>
      <c r="I1505" s="4">
        <v>0</v>
      </c>
    </row>
    <row r="1506" spans="1:9" x14ac:dyDescent="0.2">
      <c r="A1506" s="2">
        <v>8</v>
      </c>
      <c r="B1506" s="1" t="s">
        <v>96</v>
      </c>
      <c r="C1506" s="4">
        <v>30</v>
      </c>
      <c r="D1506" s="8">
        <v>4.41</v>
      </c>
      <c r="E1506" s="4">
        <v>8</v>
      </c>
      <c r="F1506" s="8">
        <v>2.09</v>
      </c>
      <c r="G1506" s="4">
        <v>22</v>
      </c>
      <c r="H1506" s="8">
        <v>7.61</v>
      </c>
      <c r="I1506" s="4">
        <v>0</v>
      </c>
    </row>
    <row r="1507" spans="1:9" x14ac:dyDescent="0.2">
      <c r="A1507" s="2">
        <v>8</v>
      </c>
      <c r="B1507" s="1" t="s">
        <v>104</v>
      </c>
      <c r="C1507" s="4">
        <v>30</v>
      </c>
      <c r="D1507" s="8">
        <v>4.41</v>
      </c>
      <c r="E1507" s="4">
        <v>22</v>
      </c>
      <c r="F1507" s="8">
        <v>5.76</v>
      </c>
      <c r="G1507" s="4">
        <v>8</v>
      </c>
      <c r="H1507" s="8">
        <v>2.77</v>
      </c>
      <c r="I1507" s="4">
        <v>0</v>
      </c>
    </row>
    <row r="1508" spans="1:9" x14ac:dyDescent="0.2">
      <c r="A1508" s="2">
        <v>10</v>
      </c>
      <c r="B1508" s="1" t="s">
        <v>103</v>
      </c>
      <c r="C1508" s="4">
        <v>21</v>
      </c>
      <c r="D1508" s="8">
        <v>3.09</v>
      </c>
      <c r="E1508" s="4">
        <v>17</v>
      </c>
      <c r="F1508" s="8">
        <v>4.45</v>
      </c>
      <c r="G1508" s="4">
        <v>4</v>
      </c>
      <c r="H1508" s="8">
        <v>1.38</v>
      </c>
      <c r="I1508" s="4">
        <v>0</v>
      </c>
    </row>
    <row r="1509" spans="1:9" x14ac:dyDescent="0.2">
      <c r="A1509" s="2">
        <v>11</v>
      </c>
      <c r="B1509" s="1" t="s">
        <v>97</v>
      </c>
      <c r="C1509" s="4">
        <v>19</v>
      </c>
      <c r="D1509" s="8">
        <v>2.79</v>
      </c>
      <c r="E1509" s="4">
        <v>6</v>
      </c>
      <c r="F1509" s="8">
        <v>1.57</v>
      </c>
      <c r="G1509" s="4">
        <v>13</v>
      </c>
      <c r="H1509" s="8">
        <v>4.5</v>
      </c>
      <c r="I1509" s="4">
        <v>0</v>
      </c>
    </row>
    <row r="1510" spans="1:9" x14ac:dyDescent="0.2">
      <c r="A1510" s="2">
        <v>11</v>
      </c>
      <c r="B1510" s="1" t="s">
        <v>108</v>
      </c>
      <c r="C1510" s="4">
        <v>19</v>
      </c>
      <c r="D1510" s="8">
        <v>2.79</v>
      </c>
      <c r="E1510" s="4">
        <v>15</v>
      </c>
      <c r="F1510" s="8">
        <v>3.93</v>
      </c>
      <c r="G1510" s="4">
        <v>4</v>
      </c>
      <c r="H1510" s="8">
        <v>1.38</v>
      </c>
      <c r="I1510" s="4">
        <v>0</v>
      </c>
    </row>
    <row r="1511" spans="1:9" x14ac:dyDescent="0.2">
      <c r="A1511" s="2">
        <v>13</v>
      </c>
      <c r="B1511" s="1" t="s">
        <v>113</v>
      </c>
      <c r="C1511" s="4">
        <v>16</v>
      </c>
      <c r="D1511" s="8">
        <v>2.35</v>
      </c>
      <c r="E1511" s="4">
        <v>14</v>
      </c>
      <c r="F1511" s="8">
        <v>3.66</v>
      </c>
      <c r="G1511" s="4">
        <v>2</v>
      </c>
      <c r="H1511" s="8">
        <v>0.69</v>
      </c>
      <c r="I1511" s="4">
        <v>0</v>
      </c>
    </row>
    <row r="1512" spans="1:9" x14ac:dyDescent="0.2">
      <c r="A1512" s="2">
        <v>14</v>
      </c>
      <c r="B1512" s="1" t="s">
        <v>125</v>
      </c>
      <c r="C1512" s="4">
        <v>15</v>
      </c>
      <c r="D1512" s="8">
        <v>2.21</v>
      </c>
      <c r="E1512" s="4">
        <v>13</v>
      </c>
      <c r="F1512" s="8">
        <v>3.4</v>
      </c>
      <c r="G1512" s="4">
        <v>2</v>
      </c>
      <c r="H1512" s="8">
        <v>0.69</v>
      </c>
      <c r="I1512" s="4">
        <v>0</v>
      </c>
    </row>
    <row r="1513" spans="1:9" x14ac:dyDescent="0.2">
      <c r="A1513" s="2">
        <v>14</v>
      </c>
      <c r="B1513" s="1" t="s">
        <v>109</v>
      </c>
      <c r="C1513" s="4">
        <v>15</v>
      </c>
      <c r="D1513" s="8">
        <v>2.21</v>
      </c>
      <c r="E1513" s="4">
        <v>10</v>
      </c>
      <c r="F1513" s="8">
        <v>2.62</v>
      </c>
      <c r="G1513" s="4">
        <v>5</v>
      </c>
      <c r="H1513" s="8">
        <v>1.73</v>
      </c>
      <c r="I1513" s="4">
        <v>0</v>
      </c>
    </row>
    <row r="1514" spans="1:9" x14ac:dyDescent="0.2">
      <c r="A1514" s="2">
        <v>16</v>
      </c>
      <c r="B1514" s="1" t="s">
        <v>98</v>
      </c>
      <c r="C1514" s="4">
        <v>11</v>
      </c>
      <c r="D1514" s="8">
        <v>1.62</v>
      </c>
      <c r="E1514" s="4">
        <v>3</v>
      </c>
      <c r="F1514" s="8">
        <v>0.79</v>
      </c>
      <c r="G1514" s="4">
        <v>8</v>
      </c>
      <c r="H1514" s="8">
        <v>2.77</v>
      </c>
      <c r="I1514" s="4">
        <v>0</v>
      </c>
    </row>
    <row r="1515" spans="1:9" x14ac:dyDescent="0.2">
      <c r="A1515" s="2">
        <v>16</v>
      </c>
      <c r="B1515" s="1" t="s">
        <v>100</v>
      </c>
      <c r="C1515" s="4">
        <v>11</v>
      </c>
      <c r="D1515" s="8">
        <v>1.62</v>
      </c>
      <c r="E1515" s="4">
        <v>0</v>
      </c>
      <c r="F1515" s="8">
        <v>0</v>
      </c>
      <c r="G1515" s="4">
        <v>11</v>
      </c>
      <c r="H1515" s="8">
        <v>3.81</v>
      </c>
      <c r="I1515" s="4">
        <v>0</v>
      </c>
    </row>
    <row r="1516" spans="1:9" x14ac:dyDescent="0.2">
      <c r="A1516" s="2">
        <v>18</v>
      </c>
      <c r="B1516" s="1" t="s">
        <v>116</v>
      </c>
      <c r="C1516" s="4">
        <v>10</v>
      </c>
      <c r="D1516" s="8">
        <v>1.47</v>
      </c>
      <c r="E1516" s="4">
        <v>0</v>
      </c>
      <c r="F1516" s="8">
        <v>0</v>
      </c>
      <c r="G1516" s="4">
        <v>4</v>
      </c>
      <c r="H1516" s="8">
        <v>1.38</v>
      </c>
      <c r="I1516" s="4">
        <v>0</v>
      </c>
    </row>
    <row r="1517" spans="1:9" x14ac:dyDescent="0.2">
      <c r="A1517" s="2">
        <v>19</v>
      </c>
      <c r="B1517" s="1" t="s">
        <v>99</v>
      </c>
      <c r="C1517" s="4">
        <v>9</v>
      </c>
      <c r="D1517" s="8">
        <v>1.32</v>
      </c>
      <c r="E1517" s="4">
        <v>4</v>
      </c>
      <c r="F1517" s="8">
        <v>1.05</v>
      </c>
      <c r="G1517" s="4">
        <v>5</v>
      </c>
      <c r="H1517" s="8">
        <v>1.73</v>
      </c>
      <c r="I1517" s="4">
        <v>0</v>
      </c>
    </row>
    <row r="1518" spans="1:9" x14ac:dyDescent="0.2">
      <c r="A1518" s="2">
        <v>19</v>
      </c>
      <c r="B1518" s="1" t="s">
        <v>102</v>
      </c>
      <c r="C1518" s="4">
        <v>9</v>
      </c>
      <c r="D1518" s="8">
        <v>1.32</v>
      </c>
      <c r="E1518" s="4">
        <v>7</v>
      </c>
      <c r="F1518" s="8">
        <v>1.83</v>
      </c>
      <c r="G1518" s="4">
        <v>2</v>
      </c>
      <c r="H1518" s="8">
        <v>0.69</v>
      </c>
      <c r="I1518" s="4">
        <v>0</v>
      </c>
    </row>
    <row r="1519" spans="1:9" x14ac:dyDescent="0.2">
      <c r="A1519" s="2">
        <v>19</v>
      </c>
      <c r="B1519" s="1" t="s">
        <v>115</v>
      </c>
      <c r="C1519" s="4">
        <v>9</v>
      </c>
      <c r="D1519" s="8">
        <v>1.32</v>
      </c>
      <c r="E1519" s="4">
        <v>1</v>
      </c>
      <c r="F1519" s="8">
        <v>0.26</v>
      </c>
      <c r="G1519" s="4">
        <v>8</v>
      </c>
      <c r="H1519" s="8">
        <v>2.77</v>
      </c>
      <c r="I1519" s="4">
        <v>0</v>
      </c>
    </row>
    <row r="1520" spans="1:9" x14ac:dyDescent="0.2">
      <c r="A1520" s="2">
        <v>19</v>
      </c>
      <c r="B1520" s="1" t="s">
        <v>138</v>
      </c>
      <c r="C1520" s="4">
        <v>9</v>
      </c>
      <c r="D1520" s="8">
        <v>1.32</v>
      </c>
      <c r="E1520" s="4">
        <v>5</v>
      </c>
      <c r="F1520" s="8">
        <v>1.31</v>
      </c>
      <c r="G1520" s="4">
        <v>4</v>
      </c>
      <c r="H1520" s="8">
        <v>1.38</v>
      </c>
      <c r="I1520" s="4">
        <v>0</v>
      </c>
    </row>
    <row r="1521" spans="1:9" x14ac:dyDescent="0.2">
      <c r="A1521" s="2">
        <v>19</v>
      </c>
      <c r="B1521" s="1" t="s">
        <v>122</v>
      </c>
      <c r="C1521" s="4">
        <v>9</v>
      </c>
      <c r="D1521" s="8">
        <v>1.32</v>
      </c>
      <c r="E1521" s="4">
        <v>7</v>
      </c>
      <c r="F1521" s="8">
        <v>1.83</v>
      </c>
      <c r="G1521" s="4">
        <v>2</v>
      </c>
      <c r="H1521" s="8">
        <v>0.69</v>
      </c>
      <c r="I1521" s="4">
        <v>0</v>
      </c>
    </row>
    <row r="1522" spans="1:9" x14ac:dyDescent="0.2">
      <c r="A1522" s="1"/>
      <c r="C1522" s="4"/>
      <c r="D1522" s="8"/>
      <c r="E1522" s="4"/>
      <c r="F1522" s="8"/>
      <c r="G1522" s="4"/>
      <c r="H1522" s="8"/>
      <c r="I1522" s="4"/>
    </row>
    <row r="1523" spans="1:9" x14ac:dyDescent="0.2">
      <c r="A1523" s="1" t="s">
        <v>68</v>
      </c>
      <c r="C1523" s="4"/>
      <c r="D1523" s="8"/>
      <c r="E1523" s="4"/>
      <c r="F1523" s="8"/>
      <c r="G1523" s="4"/>
      <c r="H1523" s="8"/>
      <c r="I1523" s="4"/>
    </row>
    <row r="1524" spans="1:9" x14ac:dyDescent="0.2">
      <c r="A1524" s="2">
        <v>1</v>
      </c>
      <c r="B1524" s="1" t="s">
        <v>105</v>
      </c>
      <c r="C1524" s="4">
        <v>18</v>
      </c>
      <c r="D1524" s="8">
        <v>11.18</v>
      </c>
      <c r="E1524" s="4">
        <v>14</v>
      </c>
      <c r="F1524" s="8">
        <v>14.29</v>
      </c>
      <c r="G1524" s="4">
        <v>4</v>
      </c>
      <c r="H1524" s="8">
        <v>7.27</v>
      </c>
      <c r="I1524" s="4">
        <v>0</v>
      </c>
    </row>
    <row r="1525" spans="1:9" x14ac:dyDescent="0.2">
      <c r="A1525" s="2">
        <v>1</v>
      </c>
      <c r="B1525" s="1" t="s">
        <v>111</v>
      </c>
      <c r="C1525" s="4">
        <v>18</v>
      </c>
      <c r="D1525" s="8">
        <v>11.18</v>
      </c>
      <c r="E1525" s="4">
        <v>17</v>
      </c>
      <c r="F1525" s="8">
        <v>17.350000000000001</v>
      </c>
      <c r="G1525" s="4">
        <v>1</v>
      </c>
      <c r="H1525" s="8">
        <v>1.82</v>
      </c>
      <c r="I1525" s="4">
        <v>0</v>
      </c>
    </row>
    <row r="1526" spans="1:9" x14ac:dyDescent="0.2">
      <c r="A1526" s="2">
        <v>3</v>
      </c>
      <c r="B1526" s="1" t="s">
        <v>94</v>
      </c>
      <c r="C1526" s="4">
        <v>14</v>
      </c>
      <c r="D1526" s="8">
        <v>8.6999999999999993</v>
      </c>
      <c r="E1526" s="4">
        <v>5</v>
      </c>
      <c r="F1526" s="8">
        <v>5.0999999999999996</v>
      </c>
      <c r="G1526" s="4">
        <v>9</v>
      </c>
      <c r="H1526" s="8">
        <v>16.36</v>
      </c>
      <c r="I1526" s="4">
        <v>0</v>
      </c>
    </row>
    <row r="1527" spans="1:9" x14ac:dyDescent="0.2">
      <c r="A1527" s="2">
        <v>4</v>
      </c>
      <c r="B1527" s="1" t="s">
        <v>95</v>
      </c>
      <c r="C1527" s="4">
        <v>11</v>
      </c>
      <c r="D1527" s="8">
        <v>6.83</v>
      </c>
      <c r="E1527" s="4">
        <v>8</v>
      </c>
      <c r="F1527" s="8">
        <v>8.16</v>
      </c>
      <c r="G1527" s="4">
        <v>3</v>
      </c>
      <c r="H1527" s="8">
        <v>5.45</v>
      </c>
      <c r="I1527" s="4">
        <v>0</v>
      </c>
    </row>
    <row r="1528" spans="1:9" x14ac:dyDescent="0.2">
      <c r="A1528" s="2">
        <v>4</v>
      </c>
      <c r="B1528" s="1" t="s">
        <v>110</v>
      </c>
      <c r="C1528" s="4">
        <v>11</v>
      </c>
      <c r="D1528" s="8">
        <v>6.83</v>
      </c>
      <c r="E1528" s="4">
        <v>9</v>
      </c>
      <c r="F1528" s="8">
        <v>9.18</v>
      </c>
      <c r="G1528" s="4">
        <v>2</v>
      </c>
      <c r="H1528" s="8">
        <v>3.64</v>
      </c>
      <c r="I1528" s="4">
        <v>0</v>
      </c>
    </row>
    <row r="1529" spans="1:9" x14ac:dyDescent="0.2">
      <c r="A1529" s="2">
        <v>6</v>
      </c>
      <c r="B1529" s="1" t="s">
        <v>96</v>
      </c>
      <c r="C1529" s="4">
        <v>9</v>
      </c>
      <c r="D1529" s="8">
        <v>5.59</v>
      </c>
      <c r="E1529" s="4">
        <v>4</v>
      </c>
      <c r="F1529" s="8">
        <v>4.08</v>
      </c>
      <c r="G1529" s="4">
        <v>5</v>
      </c>
      <c r="H1529" s="8">
        <v>9.09</v>
      </c>
      <c r="I1529" s="4">
        <v>0</v>
      </c>
    </row>
    <row r="1530" spans="1:9" x14ac:dyDescent="0.2">
      <c r="A1530" s="2">
        <v>6</v>
      </c>
      <c r="B1530" s="1" t="s">
        <v>103</v>
      </c>
      <c r="C1530" s="4">
        <v>9</v>
      </c>
      <c r="D1530" s="8">
        <v>5.59</v>
      </c>
      <c r="E1530" s="4">
        <v>8</v>
      </c>
      <c r="F1530" s="8">
        <v>8.16</v>
      </c>
      <c r="G1530" s="4">
        <v>1</v>
      </c>
      <c r="H1530" s="8">
        <v>1.82</v>
      </c>
      <c r="I1530" s="4">
        <v>0</v>
      </c>
    </row>
    <row r="1531" spans="1:9" x14ac:dyDescent="0.2">
      <c r="A1531" s="2">
        <v>8</v>
      </c>
      <c r="B1531" s="1" t="s">
        <v>134</v>
      </c>
      <c r="C1531" s="4">
        <v>8</v>
      </c>
      <c r="D1531" s="8">
        <v>4.97</v>
      </c>
      <c r="E1531" s="4">
        <v>4</v>
      </c>
      <c r="F1531" s="8">
        <v>4.08</v>
      </c>
      <c r="G1531" s="4">
        <v>3</v>
      </c>
      <c r="H1531" s="8">
        <v>5.45</v>
      </c>
      <c r="I1531" s="4">
        <v>0</v>
      </c>
    </row>
    <row r="1532" spans="1:9" x14ac:dyDescent="0.2">
      <c r="A1532" s="2">
        <v>8</v>
      </c>
      <c r="B1532" s="1" t="s">
        <v>113</v>
      </c>
      <c r="C1532" s="4">
        <v>8</v>
      </c>
      <c r="D1532" s="8">
        <v>4.97</v>
      </c>
      <c r="E1532" s="4">
        <v>8</v>
      </c>
      <c r="F1532" s="8">
        <v>8.16</v>
      </c>
      <c r="G1532" s="4">
        <v>0</v>
      </c>
      <c r="H1532" s="8">
        <v>0</v>
      </c>
      <c r="I1532" s="4">
        <v>0</v>
      </c>
    </row>
    <row r="1533" spans="1:9" x14ac:dyDescent="0.2">
      <c r="A1533" s="2">
        <v>10</v>
      </c>
      <c r="B1533" s="1" t="s">
        <v>104</v>
      </c>
      <c r="C1533" s="4">
        <v>6</v>
      </c>
      <c r="D1533" s="8">
        <v>3.73</v>
      </c>
      <c r="E1533" s="4">
        <v>5</v>
      </c>
      <c r="F1533" s="8">
        <v>5.0999999999999996</v>
      </c>
      <c r="G1533" s="4">
        <v>1</v>
      </c>
      <c r="H1533" s="8">
        <v>1.82</v>
      </c>
      <c r="I1533" s="4">
        <v>0</v>
      </c>
    </row>
    <row r="1534" spans="1:9" x14ac:dyDescent="0.2">
      <c r="A1534" s="2">
        <v>11</v>
      </c>
      <c r="B1534" s="1" t="s">
        <v>102</v>
      </c>
      <c r="C1534" s="4">
        <v>5</v>
      </c>
      <c r="D1534" s="8">
        <v>3.11</v>
      </c>
      <c r="E1534" s="4">
        <v>4</v>
      </c>
      <c r="F1534" s="8">
        <v>4.08</v>
      </c>
      <c r="G1534" s="4">
        <v>1</v>
      </c>
      <c r="H1534" s="8">
        <v>1.82</v>
      </c>
      <c r="I1534" s="4">
        <v>0</v>
      </c>
    </row>
    <row r="1535" spans="1:9" x14ac:dyDescent="0.2">
      <c r="A1535" s="2">
        <v>12</v>
      </c>
      <c r="B1535" s="1" t="s">
        <v>137</v>
      </c>
      <c r="C1535" s="4">
        <v>3</v>
      </c>
      <c r="D1535" s="8">
        <v>1.86</v>
      </c>
      <c r="E1535" s="4">
        <v>2</v>
      </c>
      <c r="F1535" s="8">
        <v>2.04</v>
      </c>
      <c r="G1535" s="4">
        <v>1</v>
      </c>
      <c r="H1535" s="8">
        <v>1.82</v>
      </c>
      <c r="I1535" s="4">
        <v>0</v>
      </c>
    </row>
    <row r="1536" spans="1:9" x14ac:dyDescent="0.2">
      <c r="A1536" s="2">
        <v>12</v>
      </c>
      <c r="B1536" s="1" t="s">
        <v>108</v>
      </c>
      <c r="C1536" s="4">
        <v>3</v>
      </c>
      <c r="D1536" s="8">
        <v>1.86</v>
      </c>
      <c r="E1536" s="4">
        <v>1</v>
      </c>
      <c r="F1536" s="8">
        <v>1.02</v>
      </c>
      <c r="G1536" s="4">
        <v>2</v>
      </c>
      <c r="H1536" s="8">
        <v>3.64</v>
      </c>
      <c r="I1536" s="4">
        <v>0</v>
      </c>
    </row>
    <row r="1537" spans="1:9" x14ac:dyDescent="0.2">
      <c r="A1537" s="2">
        <v>12</v>
      </c>
      <c r="B1537" s="1" t="s">
        <v>138</v>
      </c>
      <c r="C1537" s="4">
        <v>3</v>
      </c>
      <c r="D1537" s="8">
        <v>1.86</v>
      </c>
      <c r="E1537" s="4">
        <v>0</v>
      </c>
      <c r="F1537" s="8">
        <v>0</v>
      </c>
      <c r="G1537" s="4">
        <v>3</v>
      </c>
      <c r="H1537" s="8">
        <v>5.45</v>
      </c>
      <c r="I1537" s="4">
        <v>0</v>
      </c>
    </row>
    <row r="1538" spans="1:9" x14ac:dyDescent="0.2">
      <c r="A1538" s="2">
        <v>15</v>
      </c>
      <c r="B1538" s="1" t="s">
        <v>128</v>
      </c>
      <c r="C1538" s="4">
        <v>2</v>
      </c>
      <c r="D1538" s="8">
        <v>1.24</v>
      </c>
      <c r="E1538" s="4">
        <v>2</v>
      </c>
      <c r="F1538" s="8">
        <v>2.04</v>
      </c>
      <c r="G1538" s="4">
        <v>0</v>
      </c>
      <c r="H1538" s="8">
        <v>0</v>
      </c>
      <c r="I1538" s="4">
        <v>0</v>
      </c>
    </row>
    <row r="1539" spans="1:9" x14ac:dyDescent="0.2">
      <c r="A1539" s="2">
        <v>15</v>
      </c>
      <c r="B1539" s="1" t="s">
        <v>133</v>
      </c>
      <c r="C1539" s="4">
        <v>2</v>
      </c>
      <c r="D1539" s="8">
        <v>1.24</v>
      </c>
      <c r="E1539" s="4">
        <v>0</v>
      </c>
      <c r="F1539" s="8">
        <v>0</v>
      </c>
      <c r="G1539" s="4">
        <v>2</v>
      </c>
      <c r="H1539" s="8">
        <v>3.64</v>
      </c>
      <c r="I1539" s="4">
        <v>0</v>
      </c>
    </row>
    <row r="1540" spans="1:9" x14ac:dyDescent="0.2">
      <c r="A1540" s="2">
        <v>15</v>
      </c>
      <c r="B1540" s="1" t="s">
        <v>144</v>
      </c>
      <c r="C1540" s="4">
        <v>2</v>
      </c>
      <c r="D1540" s="8">
        <v>1.24</v>
      </c>
      <c r="E1540" s="4">
        <v>1</v>
      </c>
      <c r="F1540" s="8">
        <v>1.02</v>
      </c>
      <c r="G1540" s="4">
        <v>1</v>
      </c>
      <c r="H1540" s="8">
        <v>1.82</v>
      </c>
      <c r="I1540" s="4">
        <v>0</v>
      </c>
    </row>
    <row r="1541" spans="1:9" x14ac:dyDescent="0.2">
      <c r="A1541" s="2">
        <v>15</v>
      </c>
      <c r="B1541" s="1" t="s">
        <v>99</v>
      </c>
      <c r="C1541" s="4">
        <v>2</v>
      </c>
      <c r="D1541" s="8">
        <v>1.24</v>
      </c>
      <c r="E1541" s="4">
        <v>1</v>
      </c>
      <c r="F1541" s="8">
        <v>1.02</v>
      </c>
      <c r="G1541" s="4">
        <v>1</v>
      </c>
      <c r="H1541" s="8">
        <v>1.82</v>
      </c>
      <c r="I1541" s="4">
        <v>0</v>
      </c>
    </row>
    <row r="1542" spans="1:9" x14ac:dyDescent="0.2">
      <c r="A1542" s="2">
        <v>15</v>
      </c>
      <c r="B1542" s="1" t="s">
        <v>109</v>
      </c>
      <c r="C1542" s="4">
        <v>2</v>
      </c>
      <c r="D1542" s="8">
        <v>1.24</v>
      </c>
      <c r="E1542" s="4">
        <v>1</v>
      </c>
      <c r="F1542" s="8">
        <v>1.02</v>
      </c>
      <c r="G1542" s="4">
        <v>1</v>
      </c>
      <c r="H1542" s="8">
        <v>1.82</v>
      </c>
      <c r="I1542" s="4">
        <v>0</v>
      </c>
    </row>
    <row r="1543" spans="1:9" x14ac:dyDescent="0.2">
      <c r="A1543" s="2">
        <v>15</v>
      </c>
      <c r="B1543" s="1" t="s">
        <v>135</v>
      </c>
      <c r="C1543" s="4">
        <v>2</v>
      </c>
      <c r="D1543" s="8">
        <v>1.24</v>
      </c>
      <c r="E1543" s="4">
        <v>0</v>
      </c>
      <c r="F1543" s="8">
        <v>0</v>
      </c>
      <c r="G1543" s="4">
        <v>0</v>
      </c>
      <c r="H1543" s="8">
        <v>0</v>
      </c>
      <c r="I1543" s="4">
        <v>0</v>
      </c>
    </row>
    <row r="1544" spans="1:9" x14ac:dyDescent="0.2">
      <c r="A1544" s="2">
        <v>15</v>
      </c>
      <c r="B1544" s="1" t="s">
        <v>115</v>
      </c>
      <c r="C1544" s="4">
        <v>2</v>
      </c>
      <c r="D1544" s="8">
        <v>1.24</v>
      </c>
      <c r="E1544" s="4">
        <v>0</v>
      </c>
      <c r="F1544" s="8">
        <v>0</v>
      </c>
      <c r="G1544" s="4">
        <v>1</v>
      </c>
      <c r="H1544" s="8">
        <v>1.82</v>
      </c>
      <c r="I1544" s="4">
        <v>0</v>
      </c>
    </row>
    <row r="1545" spans="1:9" x14ac:dyDescent="0.2">
      <c r="A1545" s="2">
        <v>15</v>
      </c>
      <c r="B1545" s="1" t="s">
        <v>141</v>
      </c>
      <c r="C1545" s="4">
        <v>2</v>
      </c>
      <c r="D1545" s="8">
        <v>1.24</v>
      </c>
      <c r="E1545" s="4">
        <v>0</v>
      </c>
      <c r="F1545" s="8">
        <v>0</v>
      </c>
      <c r="G1545" s="4">
        <v>1</v>
      </c>
      <c r="H1545" s="8">
        <v>1.82</v>
      </c>
      <c r="I1545" s="4">
        <v>0</v>
      </c>
    </row>
    <row r="1546" spans="1:9" x14ac:dyDescent="0.2">
      <c r="A1546" s="2">
        <v>15</v>
      </c>
      <c r="B1546" s="1" t="s">
        <v>114</v>
      </c>
      <c r="C1546" s="4">
        <v>2</v>
      </c>
      <c r="D1546" s="8">
        <v>1.24</v>
      </c>
      <c r="E1546" s="4">
        <v>0</v>
      </c>
      <c r="F1546" s="8">
        <v>0</v>
      </c>
      <c r="G1546" s="4">
        <v>2</v>
      </c>
      <c r="H1546" s="8">
        <v>3.64</v>
      </c>
      <c r="I1546" s="4">
        <v>0</v>
      </c>
    </row>
    <row r="1547" spans="1:9" x14ac:dyDescent="0.2">
      <c r="A1547" s="1"/>
      <c r="C1547" s="4"/>
      <c r="D1547" s="8"/>
      <c r="E1547" s="4"/>
      <c r="F1547" s="8"/>
      <c r="G1547" s="4"/>
      <c r="H1547" s="8"/>
      <c r="I1547" s="4"/>
    </row>
    <row r="1548" spans="1:9" x14ac:dyDescent="0.2">
      <c r="A1548" s="1" t="s">
        <v>69</v>
      </c>
      <c r="C1548" s="4"/>
      <c r="D1548" s="8"/>
      <c r="E1548" s="4"/>
      <c r="F1548" s="8"/>
      <c r="G1548" s="4"/>
      <c r="H1548" s="8"/>
      <c r="I1548" s="4"/>
    </row>
    <row r="1549" spans="1:9" x14ac:dyDescent="0.2">
      <c r="A1549" s="2">
        <v>1</v>
      </c>
      <c r="B1549" s="1" t="s">
        <v>110</v>
      </c>
      <c r="C1549" s="4">
        <v>17</v>
      </c>
      <c r="D1549" s="8">
        <v>13.49</v>
      </c>
      <c r="E1549" s="4">
        <v>13</v>
      </c>
      <c r="F1549" s="8">
        <v>13.98</v>
      </c>
      <c r="G1549" s="4">
        <v>4</v>
      </c>
      <c r="H1549" s="8">
        <v>13.79</v>
      </c>
      <c r="I1549" s="4">
        <v>0</v>
      </c>
    </row>
    <row r="1550" spans="1:9" x14ac:dyDescent="0.2">
      <c r="A1550" s="2">
        <v>2</v>
      </c>
      <c r="B1550" s="1" t="s">
        <v>94</v>
      </c>
      <c r="C1550" s="4">
        <v>16</v>
      </c>
      <c r="D1550" s="8">
        <v>12.7</v>
      </c>
      <c r="E1550" s="4">
        <v>10</v>
      </c>
      <c r="F1550" s="8">
        <v>10.75</v>
      </c>
      <c r="G1550" s="4">
        <v>6</v>
      </c>
      <c r="H1550" s="8">
        <v>20.69</v>
      </c>
      <c r="I1550" s="4">
        <v>0</v>
      </c>
    </row>
    <row r="1551" spans="1:9" x14ac:dyDescent="0.2">
      <c r="A1551" s="2">
        <v>3</v>
      </c>
      <c r="B1551" s="1" t="s">
        <v>103</v>
      </c>
      <c r="C1551" s="4">
        <v>10</v>
      </c>
      <c r="D1551" s="8">
        <v>7.94</v>
      </c>
      <c r="E1551" s="4">
        <v>10</v>
      </c>
      <c r="F1551" s="8">
        <v>10.75</v>
      </c>
      <c r="G1551" s="4">
        <v>0</v>
      </c>
      <c r="H1551" s="8">
        <v>0</v>
      </c>
      <c r="I1551" s="4">
        <v>0</v>
      </c>
    </row>
    <row r="1552" spans="1:9" x14ac:dyDescent="0.2">
      <c r="A1552" s="2">
        <v>3</v>
      </c>
      <c r="B1552" s="1" t="s">
        <v>105</v>
      </c>
      <c r="C1552" s="4">
        <v>10</v>
      </c>
      <c r="D1552" s="8">
        <v>7.94</v>
      </c>
      <c r="E1552" s="4">
        <v>8</v>
      </c>
      <c r="F1552" s="8">
        <v>8.6</v>
      </c>
      <c r="G1552" s="4">
        <v>2</v>
      </c>
      <c r="H1552" s="8">
        <v>6.9</v>
      </c>
      <c r="I1552" s="4">
        <v>0</v>
      </c>
    </row>
    <row r="1553" spans="1:9" x14ac:dyDescent="0.2">
      <c r="A1553" s="2">
        <v>5</v>
      </c>
      <c r="B1553" s="1" t="s">
        <v>111</v>
      </c>
      <c r="C1553" s="4">
        <v>8</v>
      </c>
      <c r="D1553" s="8">
        <v>6.35</v>
      </c>
      <c r="E1553" s="4">
        <v>8</v>
      </c>
      <c r="F1553" s="8">
        <v>8.6</v>
      </c>
      <c r="G1553" s="4">
        <v>0</v>
      </c>
      <c r="H1553" s="8">
        <v>0</v>
      </c>
      <c r="I1553" s="4">
        <v>0</v>
      </c>
    </row>
    <row r="1554" spans="1:9" x14ac:dyDescent="0.2">
      <c r="A1554" s="2">
        <v>6</v>
      </c>
      <c r="B1554" s="1" t="s">
        <v>104</v>
      </c>
      <c r="C1554" s="4">
        <v>7</v>
      </c>
      <c r="D1554" s="8">
        <v>5.56</v>
      </c>
      <c r="E1554" s="4">
        <v>6</v>
      </c>
      <c r="F1554" s="8">
        <v>6.45</v>
      </c>
      <c r="G1554" s="4">
        <v>1</v>
      </c>
      <c r="H1554" s="8">
        <v>3.45</v>
      </c>
      <c r="I1554" s="4">
        <v>0</v>
      </c>
    </row>
    <row r="1555" spans="1:9" x14ac:dyDescent="0.2">
      <c r="A1555" s="2">
        <v>7</v>
      </c>
      <c r="B1555" s="1" t="s">
        <v>95</v>
      </c>
      <c r="C1555" s="4">
        <v>6</v>
      </c>
      <c r="D1555" s="8">
        <v>4.76</v>
      </c>
      <c r="E1555" s="4">
        <v>6</v>
      </c>
      <c r="F1555" s="8">
        <v>6.45</v>
      </c>
      <c r="G1555" s="4">
        <v>0</v>
      </c>
      <c r="H1555" s="8">
        <v>0</v>
      </c>
      <c r="I1555" s="4">
        <v>0</v>
      </c>
    </row>
    <row r="1556" spans="1:9" x14ac:dyDescent="0.2">
      <c r="A1556" s="2">
        <v>7</v>
      </c>
      <c r="B1556" s="1" t="s">
        <v>96</v>
      </c>
      <c r="C1556" s="4">
        <v>6</v>
      </c>
      <c r="D1556" s="8">
        <v>4.76</v>
      </c>
      <c r="E1556" s="4">
        <v>5</v>
      </c>
      <c r="F1556" s="8">
        <v>5.38</v>
      </c>
      <c r="G1556" s="4">
        <v>1</v>
      </c>
      <c r="H1556" s="8">
        <v>3.45</v>
      </c>
      <c r="I1556" s="4">
        <v>0</v>
      </c>
    </row>
    <row r="1557" spans="1:9" x14ac:dyDescent="0.2">
      <c r="A1557" s="2">
        <v>9</v>
      </c>
      <c r="B1557" s="1" t="s">
        <v>112</v>
      </c>
      <c r="C1557" s="4">
        <v>5</v>
      </c>
      <c r="D1557" s="8">
        <v>3.97</v>
      </c>
      <c r="E1557" s="4">
        <v>4</v>
      </c>
      <c r="F1557" s="8">
        <v>4.3</v>
      </c>
      <c r="G1557" s="4">
        <v>0</v>
      </c>
      <c r="H1557" s="8">
        <v>0</v>
      </c>
      <c r="I1557" s="4">
        <v>0</v>
      </c>
    </row>
    <row r="1558" spans="1:9" x14ac:dyDescent="0.2">
      <c r="A1558" s="2">
        <v>9</v>
      </c>
      <c r="B1558" s="1" t="s">
        <v>113</v>
      </c>
      <c r="C1558" s="4">
        <v>5</v>
      </c>
      <c r="D1558" s="8">
        <v>3.97</v>
      </c>
      <c r="E1558" s="4">
        <v>5</v>
      </c>
      <c r="F1558" s="8">
        <v>5.38</v>
      </c>
      <c r="G1558" s="4">
        <v>0</v>
      </c>
      <c r="H1558" s="8">
        <v>0</v>
      </c>
      <c r="I1558" s="4">
        <v>0</v>
      </c>
    </row>
    <row r="1559" spans="1:9" x14ac:dyDescent="0.2">
      <c r="A1559" s="2">
        <v>11</v>
      </c>
      <c r="B1559" s="1" t="s">
        <v>134</v>
      </c>
      <c r="C1559" s="4">
        <v>4</v>
      </c>
      <c r="D1559" s="8">
        <v>3.17</v>
      </c>
      <c r="E1559" s="4">
        <v>1</v>
      </c>
      <c r="F1559" s="8">
        <v>1.08</v>
      </c>
      <c r="G1559" s="4">
        <v>2</v>
      </c>
      <c r="H1559" s="8">
        <v>6.9</v>
      </c>
      <c r="I1559" s="4">
        <v>1</v>
      </c>
    </row>
    <row r="1560" spans="1:9" x14ac:dyDescent="0.2">
      <c r="A1560" s="2">
        <v>12</v>
      </c>
      <c r="B1560" s="1" t="s">
        <v>102</v>
      </c>
      <c r="C1560" s="4">
        <v>3</v>
      </c>
      <c r="D1560" s="8">
        <v>2.38</v>
      </c>
      <c r="E1560" s="4">
        <v>2</v>
      </c>
      <c r="F1560" s="8">
        <v>2.15</v>
      </c>
      <c r="G1560" s="4">
        <v>1</v>
      </c>
      <c r="H1560" s="8">
        <v>3.45</v>
      </c>
      <c r="I1560" s="4">
        <v>0</v>
      </c>
    </row>
    <row r="1561" spans="1:9" x14ac:dyDescent="0.2">
      <c r="A1561" s="2">
        <v>12</v>
      </c>
      <c r="B1561" s="1" t="s">
        <v>109</v>
      </c>
      <c r="C1561" s="4">
        <v>3</v>
      </c>
      <c r="D1561" s="8">
        <v>2.38</v>
      </c>
      <c r="E1561" s="4">
        <v>2</v>
      </c>
      <c r="F1561" s="8">
        <v>2.15</v>
      </c>
      <c r="G1561" s="4">
        <v>1</v>
      </c>
      <c r="H1561" s="8">
        <v>3.45</v>
      </c>
      <c r="I1561" s="4">
        <v>0</v>
      </c>
    </row>
    <row r="1562" spans="1:9" x14ac:dyDescent="0.2">
      <c r="A1562" s="2">
        <v>14</v>
      </c>
      <c r="B1562" s="1" t="s">
        <v>128</v>
      </c>
      <c r="C1562" s="4">
        <v>2</v>
      </c>
      <c r="D1562" s="8">
        <v>1.59</v>
      </c>
      <c r="E1562" s="4">
        <v>1</v>
      </c>
      <c r="F1562" s="8">
        <v>1.08</v>
      </c>
      <c r="G1562" s="4">
        <v>1</v>
      </c>
      <c r="H1562" s="8">
        <v>3.45</v>
      </c>
      <c r="I1562" s="4">
        <v>0</v>
      </c>
    </row>
    <row r="1563" spans="1:9" x14ac:dyDescent="0.2">
      <c r="A1563" s="2">
        <v>14</v>
      </c>
      <c r="B1563" s="1" t="s">
        <v>145</v>
      </c>
      <c r="C1563" s="4">
        <v>2</v>
      </c>
      <c r="D1563" s="8">
        <v>1.59</v>
      </c>
      <c r="E1563" s="4">
        <v>1</v>
      </c>
      <c r="F1563" s="8">
        <v>1.08</v>
      </c>
      <c r="G1563" s="4">
        <v>1</v>
      </c>
      <c r="H1563" s="8">
        <v>3.45</v>
      </c>
      <c r="I1563" s="4">
        <v>0</v>
      </c>
    </row>
    <row r="1564" spans="1:9" x14ac:dyDescent="0.2">
      <c r="A1564" s="2">
        <v>14</v>
      </c>
      <c r="B1564" s="1" t="s">
        <v>133</v>
      </c>
      <c r="C1564" s="4">
        <v>2</v>
      </c>
      <c r="D1564" s="8">
        <v>1.59</v>
      </c>
      <c r="E1564" s="4">
        <v>1</v>
      </c>
      <c r="F1564" s="8">
        <v>1.08</v>
      </c>
      <c r="G1564" s="4">
        <v>1</v>
      </c>
      <c r="H1564" s="8">
        <v>3.45</v>
      </c>
      <c r="I1564" s="4">
        <v>0</v>
      </c>
    </row>
    <row r="1565" spans="1:9" x14ac:dyDescent="0.2">
      <c r="A1565" s="2">
        <v>14</v>
      </c>
      <c r="B1565" s="1" t="s">
        <v>129</v>
      </c>
      <c r="C1565" s="4">
        <v>2</v>
      </c>
      <c r="D1565" s="8">
        <v>1.59</v>
      </c>
      <c r="E1565" s="4">
        <v>2</v>
      </c>
      <c r="F1565" s="8">
        <v>2.15</v>
      </c>
      <c r="G1565" s="4">
        <v>0</v>
      </c>
      <c r="H1565" s="8">
        <v>0</v>
      </c>
      <c r="I1565" s="4">
        <v>0</v>
      </c>
    </row>
    <row r="1566" spans="1:9" x14ac:dyDescent="0.2">
      <c r="A1566" s="2">
        <v>14</v>
      </c>
      <c r="B1566" s="1" t="s">
        <v>118</v>
      </c>
      <c r="C1566" s="4">
        <v>2</v>
      </c>
      <c r="D1566" s="8">
        <v>1.59</v>
      </c>
      <c r="E1566" s="4">
        <v>1</v>
      </c>
      <c r="F1566" s="8">
        <v>1.08</v>
      </c>
      <c r="G1566" s="4">
        <v>1</v>
      </c>
      <c r="H1566" s="8">
        <v>3.45</v>
      </c>
      <c r="I1566" s="4">
        <v>0</v>
      </c>
    </row>
    <row r="1567" spans="1:9" x14ac:dyDescent="0.2">
      <c r="A1567" s="2">
        <v>14</v>
      </c>
      <c r="B1567" s="1" t="s">
        <v>138</v>
      </c>
      <c r="C1567" s="4">
        <v>2</v>
      </c>
      <c r="D1567" s="8">
        <v>1.59</v>
      </c>
      <c r="E1567" s="4">
        <v>1</v>
      </c>
      <c r="F1567" s="8">
        <v>1.08</v>
      </c>
      <c r="G1567" s="4">
        <v>1</v>
      </c>
      <c r="H1567" s="8">
        <v>3.45</v>
      </c>
      <c r="I1567" s="4">
        <v>0</v>
      </c>
    </row>
    <row r="1568" spans="1:9" x14ac:dyDescent="0.2">
      <c r="A1568" s="2">
        <v>20</v>
      </c>
      <c r="B1568" s="1" t="s">
        <v>137</v>
      </c>
      <c r="C1568" s="4">
        <v>1</v>
      </c>
      <c r="D1568" s="8">
        <v>0.79</v>
      </c>
      <c r="E1568" s="4">
        <v>1</v>
      </c>
      <c r="F1568" s="8">
        <v>1.08</v>
      </c>
      <c r="G1568" s="4">
        <v>0</v>
      </c>
      <c r="H1568" s="8">
        <v>0</v>
      </c>
      <c r="I1568" s="4">
        <v>0</v>
      </c>
    </row>
    <row r="1569" spans="1:9" x14ac:dyDescent="0.2">
      <c r="A1569" s="2">
        <v>20</v>
      </c>
      <c r="B1569" s="1" t="s">
        <v>146</v>
      </c>
      <c r="C1569" s="4">
        <v>1</v>
      </c>
      <c r="D1569" s="8">
        <v>0.79</v>
      </c>
      <c r="E1569" s="4">
        <v>0</v>
      </c>
      <c r="F1569" s="8">
        <v>0</v>
      </c>
      <c r="G1569" s="4">
        <v>1</v>
      </c>
      <c r="H1569" s="8">
        <v>3.45</v>
      </c>
      <c r="I1569" s="4">
        <v>0</v>
      </c>
    </row>
    <row r="1570" spans="1:9" x14ac:dyDescent="0.2">
      <c r="A1570" s="2">
        <v>20</v>
      </c>
      <c r="B1570" s="1" t="s">
        <v>147</v>
      </c>
      <c r="C1570" s="4">
        <v>1</v>
      </c>
      <c r="D1570" s="8">
        <v>0.79</v>
      </c>
      <c r="E1570" s="4">
        <v>0</v>
      </c>
      <c r="F1570" s="8">
        <v>0</v>
      </c>
      <c r="G1570" s="4">
        <v>0</v>
      </c>
      <c r="H1570" s="8">
        <v>0</v>
      </c>
      <c r="I1570" s="4">
        <v>0</v>
      </c>
    </row>
    <row r="1571" spans="1:9" x14ac:dyDescent="0.2">
      <c r="A1571" s="2">
        <v>20</v>
      </c>
      <c r="B1571" s="1" t="s">
        <v>132</v>
      </c>
      <c r="C1571" s="4">
        <v>1</v>
      </c>
      <c r="D1571" s="8">
        <v>0.79</v>
      </c>
      <c r="E1571" s="4">
        <v>0</v>
      </c>
      <c r="F1571" s="8">
        <v>0</v>
      </c>
      <c r="G1571" s="4">
        <v>1</v>
      </c>
      <c r="H1571" s="8">
        <v>3.45</v>
      </c>
      <c r="I1571" s="4">
        <v>0</v>
      </c>
    </row>
    <row r="1572" spans="1:9" x14ac:dyDescent="0.2">
      <c r="A1572" s="2">
        <v>20</v>
      </c>
      <c r="B1572" s="1" t="s">
        <v>123</v>
      </c>
      <c r="C1572" s="4">
        <v>1</v>
      </c>
      <c r="D1572" s="8">
        <v>0.79</v>
      </c>
      <c r="E1572" s="4">
        <v>0</v>
      </c>
      <c r="F1572" s="8">
        <v>0</v>
      </c>
      <c r="G1572" s="4">
        <v>0</v>
      </c>
      <c r="H1572" s="8">
        <v>0</v>
      </c>
      <c r="I1572" s="4">
        <v>1</v>
      </c>
    </row>
    <row r="1573" spans="1:9" x14ac:dyDescent="0.2">
      <c r="A1573" s="2">
        <v>20</v>
      </c>
      <c r="B1573" s="1" t="s">
        <v>100</v>
      </c>
      <c r="C1573" s="4">
        <v>1</v>
      </c>
      <c r="D1573" s="8">
        <v>0.79</v>
      </c>
      <c r="E1573" s="4">
        <v>1</v>
      </c>
      <c r="F1573" s="8">
        <v>1.08</v>
      </c>
      <c r="G1573" s="4">
        <v>0</v>
      </c>
      <c r="H1573" s="8">
        <v>0</v>
      </c>
      <c r="I1573" s="4">
        <v>0</v>
      </c>
    </row>
    <row r="1574" spans="1:9" x14ac:dyDescent="0.2">
      <c r="A1574" s="2">
        <v>20</v>
      </c>
      <c r="B1574" s="1" t="s">
        <v>101</v>
      </c>
      <c r="C1574" s="4">
        <v>1</v>
      </c>
      <c r="D1574" s="8">
        <v>0.79</v>
      </c>
      <c r="E1574" s="4">
        <v>0</v>
      </c>
      <c r="F1574" s="8">
        <v>0</v>
      </c>
      <c r="G1574" s="4">
        <v>1</v>
      </c>
      <c r="H1574" s="8">
        <v>3.45</v>
      </c>
      <c r="I1574" s="4">
        <v>0</v>
      </c>
    </row>
    <row r="1575" spans="1:9" x14ac:dyDescent="0.2">
      <c r="A1575" s="2">
        <v>20</v>
      </c>
      <c r="B1575" s="1" t="s">
        <v>106</v>
      </c>
      <c r="C1575" s="4">
        <v>1</v>
      </c>
      <c r="D1575" s="8">
        <v>0.79</v>
      </c>
      <c r="E1575" s="4">
        <v>1</v>
      </c>
      <c r="F1575" s="8">
        <v>1.08</v>
      </c>
      <c r="G1575" s="4">
        <v>0</v>
      </c>
      <c r="H1575" s="8">
        <v>0</v>
      </c>
      <c r="I1575" s="4">
        <v>0</v>
      </c>
    </row>
    <row r="1576" spans="1:9" x14ac:dyDescent="0.2">
      <c r="A1576" s="2">
        <v>20</v>
      </c>
      <c r="B1576" s="1" t="s">
        <v>107</v>
      </c>
      <c r="C1576" s="4">
        <v>1</v>
      </c>
      <c r="D1576" s="8">
        <v>0.79</v>
      </c>
      <c r="E1576" s="4">
        <v>0</v>
      </c>
      <c r="F1576" s="8">
        <v>0</v>
      </c>
      <c r="G1576" s="4">
        <v>1</v>
      </c>
      <c r="H1576" s="8">
        <v>3.45</v>
      </c>
      <c r="I1576" s="4">
        <v>0</v>
      </c>
    </row>
    <row r="1577" spans="1:9" x14ac:dyDescent="0.2">
      <c r="A1577" s="2">
        <v>20</v>
      </c>
      <c r="B1577" s="1" t="s">
        <v>148</v>
      </c>
      <c r="C1577" s="4">
        <v>1</v>
      </c>
      <c r="D1577" s="8">
        <v>0.79</v>
      </c>
      <c r="E1577" s="4">
        <v>0</v>
      </c>
      <c r="F1577" s="8">
        <v>0</v>
      </c>
      <c r="G1577" s="4">
        <v>1</v>
      </c>
      <c r="H1577" s="8">
        <v>3.45</v>
      </c>
      <c r="I1577" s="4">
        <v>0</v>
      </c>
    </row>
    <row r="1578" spans="1:9" x14ac:dyDescent="0.2">
      <c r="A1578" s="2">
        <v>20</v>
      </c>
      <c r="B1578" s="1" t="s">
        <v>108</v>
      </c>
      <c r="C1578" s="4">
        <v>1</v>
      </c>
      <c r="D1578" s="8">
        <v>0.79</v>
      </c>
      <c r="E1578" s="4">
        <v>1</v>
      </c>
      <c r="F1578" s="8">
        <v>1.08</v>
      </c>
      <c r="G1578" s="4">
        <v>0</v>
      </c>
      <c r="H1578" s="8">
        <v>0</v>
      </c>
      <c r="I1578" s="4">
        <v>0</v>
      </c>
    </row>
    <row r="1579" spans="1:9" x14ac:dyDescent="0.2">
      <c r="A1579" s="2">
        <v>20</v>
      </c>
      <c r="B1579" s="1" t="s">
        <v>116</v>
      </c>
      <c r="C1579" s="4">
        <v>1</v>
      </c>
      <c r="D1579" s="8">
        <v>0.79</v>
      </c>
      <c r="E1579" s="4">
        <v>1</v>
      </c>
      <c r="F1579" s="8">
        <v>1.08</v>
      </c>
      <c r="G1579" s="4">
        <v>0</v>
      </c>
      <c r="H1579" s="8">
        <v>0</v>
      </c>
      <c r="I1579" s="4">
        <v>0</v>
      </c>
    </row>
    <row r="1580" spans="1:9" x14ac:dyDescent="0.2">
      <c r="A1580" s="2">
        <v>20</v>
      </c>
      <c r="B1580" s="1" t="s">
        <v>149</v>
      </c>
      <c r="C1580" s="4">
        <v>1</v>
      </c>
      <c r="D1580" s="8">
        <v>0.79</v>
      </c>
      <c r="E1580" s="4">
        <v>0</v>
      </c>
      <c r="F1580" s="8">
        <v>0</v>
      </c>
      <c r="G1580" s="4">
        <v>1</v>
      </c>
      <c r="H1580" s="8">
        <v>3.45</v>
      </c>
      <c r="I1580" s="4">
        <v>0</v>
      </c>
    </row>
    <row r="1581" spans="1:9" x14ac:dyDescent="0.2">
      <c r="A1581" s="2">
        <v>20</v>
      </c>
      <c r="B1581" s="1" t="s">
        <v>114</v>
      </c>
      <c r="C1581" s="4">
        <v>1</v>
      </c>
      <c r="D1581" s="8">
        <v>0.79</v>
      </c>
      <c r="E1581" s="4">
        <v>1</v>
      </c>
      <c r="F1581" s="8">
        <v>1.08</v>
      </c>
      <c r="G1581" s="4">
        <v>0</v>
      </c>
      <c r="H1581" s="8">
        <v>0</v>
      </c>
      <c r="I1581" s="4">
        <v>0</v>
      </c>
    </row>
    <row r="1582" spans="1:9" x14ac:dyDescent="0.2">
      <c r="A1582" s="1"/>
      <c r="C1582" s="4"/>
      <c r="D1582" s="8"/>
      <c r="E1582" s="4"/>
      <c r="F1582" s="8"/>
      <c r="G1582" s="4"/>
      <c r="H1582" s="8"/>
      <c r="I1582" s="4"/>
    </row>
    <row r="1583" spans="1:9" x14ac:dyDescent="0.2">
      <c r="A1583" s="1" t="s">
        <v>70</v>
      </c>
      <c r="C1583" s="4"/>
      <c r="D1583" s="8"/>
      <c r="E1583" s="4"/>
      <c r="F1583" s="8"/>
      <c r="G1583" s="4"/>
      <c r="H1583" s="8"/>
      <c r="I1583" s="4"/>
    </row>
    <row r="1584" spans="1:9" x14ac:dyDescent="0.2">
      <c r="A1584" s="2">
        <v>1</v>
      </c>
      <c r="B1584" s="1" t="s">
        <v>103</v>
      </c>
      <c r="C1584" s="4">
        <v>8</v>
      </c>
      <c r="D1584" s="8">
        <v>18.600000000000001</v>
      </c>
      <c r="E1584" s="4">
        <v>8</v>
      </c>
      <c r="F1584" s="8">
        <v>28.57</v>
      </c>
      <c r="G1584" s="4">
        <v>0</v>
      </c>
      <c r="H1584" s="8">
        <v>0</v>
      </c>
      <c r="I1584" s="4">
        <v>0</v>
      </c>
    </row>
    <row r="1585" spans="1:9" x14ac:dyDescent="0.2">
      <c r="A1585" s="2">
        <v>2</v>
      </c>
      <c r="B1585" s="1" t="s">
        <v>94</v>
      </c>
      <c r="C1585" s="4">
        <v>5</v>
      </c>
      <c r="D1585" s="8">
        <v>11.63</v>
      </c>
      <c r="E1585" s="4">
        <v>3</v>
      </c>
      <c r="F1585" s="8">
        <v>10.71</v>
      </c>
      <c r="G1585" s="4">
        <v>2</v>
      </c>
      <c r="H1585" s="8">
        <v>18.18</v>
      </c>
      <c r="I1585" s="4">
        <v>0</v>
      </c>
    </row>
    <row r="1586" spans="1:9" x14ac:dyDescent="0.2">
      <c r="A1586" s="2">
        <v>3</v>
      </c>
      <c r="B1586" s="1" t="s">
        <v>105</v>
      </c>
      <c r="C1586" s="4">
        <v>3</v>
      </c>
      <c r="D1586" s="8">
        <v>6.98</v>
      </c>
      <c r="E1586" s="4">
        <v>3</v>
      </c>
      <c r="F1586" s="8">
        <v>10.71</v>
      </c>
      <c r="G1586" s="4">
        <v>0</v>
      </c>
      <c r="H1586" s="8">
        <v>0</v>
      </c>
      <c r="I1586" s="4">
        <v>0</v>
      </c>
    </row>
    <row r="1587" spans="1:9" x14ac:dyDescent="0.2">
      <c r="A1587" s="2">
        <v>3</v>
      </c>
      <c r="B1587" s="1" t="s">
        <v>134</v>
      </c>
      <c r="C1587" s="4">
        <v>3</v>
      </c>
      <c r="D1587" s="8">
        <v>6.98</v>
      </c>
      <c r="E1587" s="4">
        <v>2</v>
      </c>
      <c r="F1587" s="8">
        <v>7.14</v>
      </c>
      <c r="G1587" s="4">
        <v>1</v>
      </c>
      <c r="H1587" s="8">
        <v>9.09</v>
      </c>
      <c r="I1587" s="4">
        <v>0</v>
      </c>
    </row>
    <row r="1588" spans="1:9" x14ac:dyDescent="0.2">
      <c r="A1588" s="2">
        <v>3</v>
      </c>
      <c r="B1588" s="1" t="s">
        <v>110</v>
      </c>
      <c r="C1588" s="4">
        <v>3</v>
      </c>
      <c r="D1588" s="8">
        <v>6.98</v>
      </c>
      <c r="E1588" s="4">
        <v>3</v>
      </c>
      <c r="F1588" s="8">
        <v>10.71</v>
      </c>
      <c r="G1588" s="4">
        <v>0</v>
      </c>
      <c r="H1588" s="8">
        <v>0</v>
      </c>
      <c r="I1588" s="4">
        <v>0</v>
      </c>
    </row>
    <row r="1589" spans="1:9" x14ac:dyDescent="0.2">
      <c r="A1589" s="2">
        <v>6</v>
      </c>
      <c r="B1589" s="1" t="s">
        <v>128</v>
      </c>
      <c r="C1589" s="4">
        <v>2</v>
      </c>
      <c r="D1589" s="8">
        <v>4.6500000000000004</v>
      </c>
      <c r="E1589" s="4">
        <v>0</v>
      </c>
      <c r="F1589" s="8">
        <v>0</v>
      </c>
      <c r="G1589" s="4">
        <v>2</v>
      </c>
      <c r="H1589" s="8">
        <v>18.18</v>
      </c>
      <c r="I1589" s="4">
        <v>0</v>
      </c>
    </row>
    <row r="1590" spans="1:9" x14ac:dyDescent="0.2">
      <c r="A1590" s="2">
        <v>6</v>
      </c>
      <c r="B1590" s="1" t="s">
        <v>126</v>
      </c>
      <c r="C1590" s="4">
        <v>2</v>
      </c>
      <c r="D1590" s="8">
        <v>4.6500000000000004</v>
      </c>
      <c r="E1590" s="4">
        <v>0</v>
      </c>
      <c r="F1590" s="8">
        <v>0</v>
      </c>
      <c r="G1590" s="4">
        <v>2</v>
      </c>
      <c r="H1590" s="8">
        <v>18.18</v>
      </c>
      <c r="I1590" s="4">
        <v>0</v>
      </c>
    </row>
    <row r="1591" spans="1:9" x14ac:dyDescent="0.2">
      <c r="A1591" s="2">
        <v>6</v>
      </c>
      <c r="B1591" s="1" t="s">
        <v>107</v>
      </c>
      <c r="C1591" s="4">
        <v>2</v>
      </c>
      <c r="D1591" s="8">
        <v>4.6500000000000004</v>
      </c>
      <c r="E1591" s="4">
        <v>2</v>
      </c>
      <c r="F1591" s="8">
        <v>7.14</v>
      </c>
      <c r="G1591" s="4">
        <v>0</v>
      </c>
      <c r="H1591" s="8">
        <v>0</v>
      </c>
      <c r="I1591" s="4">
        <v>0</v>
      </c>
    </row>
    <row r="1592" spans="1:9" x14ac:dyDescent="0.2">
      <c r="A1592" s="2">
        <v>6</v>
      </c>
      <c r="B1592" s="1" t="s">
        <v>111</v>
      </c>
      <c r="C1592" s="4">
        <v>2</v>
      </c>
      <c r="D1592" s="8">
        <v>4.6500000000000004</v>
      </c>
      <c r="E1592" s="4">
        <v>2</v>
      </c>
      <c r="F1592" s="8">
        <v>7.14</v>
      </c>
      <c r="G1592" s="4">
        <v>0</v>
      </c>
      <c r="H1592" s="8">
        <v>0</v>
      </c>
      <c r="I1592" s="4">
        <v>0</v>
      </c>
    </row>
    <row r="1593" spans="1:9" x14ac:dyDescent="0.2">
      <c r="A1593" s="2">
        <v>6</v>
      </c>
      <c r="B1593" s="1" t="s">
        <v>149</v>
      </c>
      <c r="C1593" s="4">
        <v>2</v>
      </c>
      <c r="D1593" s="8">
        <v>4.6500000000000004</v>
      </c>
      <c r="E1593" s="4">
        <v>0</v>
      </c>
      <c r="F1593" s="8">
        <v>0</v>
      </c>
      <c r="G1593" s="4">
        <v>1</v>
      </c>
      <c r="H1593" s="8">
        <v>9.09</v>
      </c>
      <c r="I1593" s="4">
        <v>1</v>
      </c>
    </row>
    <row r="1594" spans="1:9" x14ac:dyDescent="0.2">
      <c r="A1594" s="2">
        <v>11</v>
      </c>
      <c r="B1594" s="1" t="s">
        <v>145</v>
      </c>
      <c r="C1594" s="4">
        <v>1</v>
      </c>
      <c r="D1594" s="8">
        <v>2.33</v>
      </c>
      <c r="E1594" s="4">
        <v>0</v>
      </c>
      <c r="F1594" s="8">
        <v>0</v>
      </c>
      <c r="G1594" s="4">
        <v>1</v>
      </c>
      <c r="H1594" s="8">
        <v>9.09</v>
      </c>
      <c r="I1594" s="4">
        <v>0</v>
      </c>
    </row>
    <row r="1595" spans="1:9" x14ac:dyDescent="0.2">
      <c r="A1595" s="2">
        <v>11</v>
      </c>
      <c r="B1595" s="1" t="s">
        <v>133</v>
      </c>
      <c r="C1595" s="4">
        <v>1</v>
      </c>
      <c r="D1595" s="8">
        <v>2.33</v>
      </c>
      <c r="E1595" s="4">
        <v>0</v>
      </c>
      <c r="F1595" s="8">
        <v>0</v>
      </c>
      <c r="G1595" s="4">
        <v>0</v>
      </c>
      <c r="H1595" s="8">
        <v>0</v>
      </c>
      <c r="I1595" s="4">
        <v>1</v>
      </c>
    </row>
    <row r="1596" spans="1:9" x14ac:dyDescent="0.2">
      <c r="A1596" s="2">
        <v>11</v>
      </c>
      <c r="B1596" s="1" t="s">
        <v>124</v>
      </c>
      <c r="C1596" s="4">
        <v>1</v>
      </c>
      <c r="D1596" s="8">
        <v>2.33</v>
      </c>
      <c r="E1596" s="4">
        <v>1</v>
      </c>
      <c r="F1596" s="8">
        <v>3.57</v>
      </c>
      <c r="G1596" s="4">
        <v>0</v>
      </c>
      <c r="H1596" s="8">
        <v>0</v>
      </c>
      <c r="I1596" s="4">
        <v>0</v>
      </c>
    </row>
    <row r="1597" spans="1:9" x14ac:dyDescent="0.2">
      <c r="A1597" s="2">
        <v>11</v>
      </c>
      <c r="B1597" s="1" t="s">
        <v>129</v>
      </c>
      <c r="C1597" s="4">
        <v>1</v>
      </c>
      <c r="D1597" s="8">
        <v>2.33</v>
      </c>
      <c r="E1597" s="4">
        <v>1</v>
      </c>
      <c r="F1597" s="8">
        <v>3.57</v>
      </c>
      <c r="G1597" s="4">
        <v>0</v>
      </c>
      <c r="H1597" s="8">
        <v>0</v>
      </c>
      <c r="I1597" s="4">
        <v>0</v>
      </c>
    </row>
    <row r="1598" spans="1:9" x14ac:dyDescent="0.2">
      <c r="A1598" s="2">
        <v>11</v>
      </c>
      <c r="B1598" s="1" t="s">
        <v>123</v>
      </c>
      <c r="C1598" s="4">
        <v>1</v>
      </c>
      <c r="D1598" s="8">
        <v>2.33</v>
      </c>
      <c r="E1598" s="4">
        <v>0</v>
      </c>
      <c r="F1598" s="8">
        <v>0</v>
      </c>
      <c r="G1598" s="4">
        <v>0</v>
      </c>
      <c r="H1598" s="8">
        <v>0</v>
      </c>
      <c r="I1598" s="4">
        <v>1</v>
      </c>
    </row>
    <row r="1599" spans="1:9" x14ac:dyDescent="0.2">
      <c r="A1599" s="2">
        <v>11</v>
      </c>
      <c r="B1599" s="1" t="s">
        <v>102</v>
      </c>
      <c r="C1599" s="4">
        <v>1</v>
      </c>
      <c r="D1599" s="8">
        <v>2.33</v>
      </c>
      <c r="E1599" s="4">
        <v>1</v>
      </c>
      <c r="F1599" s="8">
        <v>3.57</v>
      </c>
      <c r="G1599" s="4">
        <v>0</v>
      </c>
      <c r="H1599" s="8">
        <v>0</v>
      </c>
      <c r="I1599" s="4">
        <v>0</v>
      </c>
    </row>
    <row r="1600" spans="1:9" x14ac:dyDescent="0.2">
      <c r="A1600" s="2">
        <v>11</v>
      </c>
      <c r="B1600" s="1" t="s">
        <v>104</v>
      </c>
      <c r="C1600" s="4">
        <v>1</v>
      </c>
      <c r="D1600" s="8">
        <v>2.33</v>
      </c>
      <c r="E1600" s="4">
        <v>1</v>
      </c>
      <c r="F1600" s="8">
        <v>3.57</v>
      </c>
      <c r="G1600" s="4">
        <v>0</v>
      </c>
      <c r="H1600" s="8">
        <v>0</v>
      </c>
      <c r="I1600" s="4">
        <v>0</v>
      </c>
    </row>
    <row r="1601" spans="1:9" x14ac:dyDescent="0.2">
      <c r="A1601" s="2">
        <v>11</v>
      </c>
      <c r="B1601" s="1" t="s">
        <v>142</v>
      </c>
      <c r="C1601" s="4">
        <v>1</v>
      </c>
      <c r="D1601" s="8">
        <v>2.33</v>
      </c>
      <c r="E1601" s="4">
        <v>0</v>
      </c>
      <c r="F1601" s="8">
        <v>0</v>
      </c>
      <c r="G1601" s="4">
        <v>1</v>
      </c>
      <c r="H1601" s="8">
        <v>9.09</v>
      </c>
      <c r="I1601" s="4">
        <v>0</v>
      </c>
    </row>
    <row r="1602" spans="1:9" x14ac:dyDescent="0.2">
      <c r="A1602" s="2">
        <v>11</v>
      </c>
      <c r="B1602" s="1" t="s">
        <v>135</v>
      </c>
      <c r="C1602" s="4">
        <v>1</v>
      </c>
      <c r="D1602" s="8">
        <v>2.33</v>
      </c>
      <c r="E1602" s="4">
        <v>0</v>
      </c>
      <c r="F1602" s="8">
        <v>0</v>
      </c>
      <c r="G1602" s="4">
        <v>0</v>
      </c>
      <c r="H1602" s="8">
        <v>0</v>
      </c>
      <c r="I1602" s="4">
        <v>0</v>
      </c>
    </row>
    <row r="1603" spans="1:9" x14ac:dyDescent="0.2">
      <c r="A1603" s="2">
        <v>11</v>
      </c>
      <c r="B1603" s="1" t="s">
        <v>138</v>
      </c>
      <c r="C1603" s="4">
        <v>1</v>
      </c>
      <c r="D1603" s="8">
        <v>2.33</v>
      </c>
      <c r="E1603" s="4">
        <v>0</v>
      </c>
      <c r="F1603" s="8">
        <v>0</v>
      </c>
      <c r="G1603" s="4">
        <v>1</v>
      </c>
      <c r="H1603" s="8">
        <v>9.09</v>
      </c>
      <c r="I1603" s="4">
        <v>0</v>
      </c>
    </row>
    <row r="1604" spans="1:9" x14ac:dyDescent="0.2">
      <c r="A1604" s="2">
        <v>11</v>
      </c>
      <c r="B1604" s="1" t="s">
        <v>113</v>
      </c>
      <c r="C1604" s="4">
        <v>1</v>
      </c>
      <c r="D1604" s="8">
        <v>2.33</v>
      </c>
      <c r="E1604" s="4">
        <v>1</v>
      </c>
      <c r="F1604" s="8">
        <v>3.57</v>
      </c>
      <c r="G1604" s="4">
        <v>0</v>
      </c>
      <c r="H1604" s="8">
        <v>0</v>
      </c>
      <c r="I1604" s="4">
        <v>0</v>
      </c>
    </row>
    <row r="1605" spans="1:9" x14ac:dyDescent="0.2">
      <c r="A1605" s="1"/>
      <c r="C1605" s="4"/>
      <c r="D1605" s="8"/>
      <c r="E1605" s="4"/>
      <c r="F1605" s="8"/>
      <c r="G1605" s="4"/>
      <c r="H1605" s="8"/>
      <c r="I160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B85C-726A-48F5-B224-0F8944E6E937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202</v>
      </c>
      <c r="D6" s="8">
        <v>13.07</v>
      </c>
      <c r="E6" s="12">
        <v>59</v>
      </c>
      <c r="F6" s="8">
        <v>7.43</v>
      </c>
      <c r="G6" s="12">
        <v>143</v>
      </c>
      <c r="H6" s="8">
        <v>19.43</v>
      </c>
      <c r="I6" s="12">
        <v>0</v>
      </c>
    </row>
    <row r="7" spans="2:9" ht="15" customHeight="1" x14ac:dyDescent="0.2">
      <c r="B7" t="s">
        <v>73</v>
      </c>
      <c r="C7" s="12">
        <v>211</v>
      </c>
      <c r="D7" s="8">
        <v>13.65</v>
      </c>
      <c r="E7" s="12">
        <v>75</v>
      </c>
      <c r="F7" s="8">
        <v>9.4499999999999993</v>
      </c>
      <c r="G7" s="12">
        <v>136</v>
      </c>
      <c r="H7" s="8">
        <v>18.48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0.19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2">
      <c r="B9" t="s">
        <v>75</v>
      </c>
      <c r="C9" s="12">
        <v>8</v>
      </c>
      <c r="D9" s="8">
        <v>0.52</v>
      </c>
      <c r="E9" s="12">
        <v>0</v>
      </c>
      <c r="F9" s="8">
        <v>0</v>
      </c>
      <c r="G9" s="12">
        <v>8</v>
      </c>
      <c r="H9" s="8">
        <v>1.0900000000000001</v>
      </c>
      <c r="I9" s="12">
        <v>0</v>
      </c>
    </row>
    <row r="10" spans="2:9" ht="15" customHeight="1" x14ac:dyDescent="0.2">
      <c r="B10" t="s">
        <v>76</v>
      </c>
      <c r="C10" s="12">
        <v>9</v>
      </c>
      <c r="D10" s="8">
        <v>0.57999999999999996</v>
      </c>
      <c r="E10" s="12">
        <v>0</v>
      </c>
      <c r="F10" s="8">
        <v>0</v>
      </c>
      <c r="G10" s="12">
        <v>9</v>
      </c>
      <c r="H10" s="8">
        <v>1.22</v>
      </c>
      <c r="I10" s="12">
        <v>0</v>
      </c>
    </row>
    <row r="11" spans="2:9" ht="15" customHeight="1" x14ac:dyDescent="0.2">
      <c r="B11" t="s">
        <v>77</v>
      </c>
      <c r="C11" s="12">
        <v>372</v>
      </c>
      <c r="D11" s="8">
        <v>24.06</v>
      </c>
      <c r="E11" s="12">
        <v>168</v>
      </c>
      <c r="F11" s="8">
        <v>21.16</v>
      </c>
      <c r="G11" s="12">
        <v>204</v>
      </c>
      <c r="H11" s="8">
        <v>27.72</v>
      </c>
      <c r="I11" s="12">
        <v>0</v>
      </c>
    </row>
    <row r="12" spans="2:9" ht="15" customHeight="1" x14ac:dyDescent="0.2">
      <c r="B12" t="s">
        <v>78</v>
      </c>
      <c r="C12" s="12">
        <v>15</v>
      </c>
      <c r="D12" s="8">
        <v>0.97</v>
      </c>
      <c r="E12" s="12">
        <v>2</v>
      </c>
      <c r="F12" s="8">
        <v>0.25</v>
      </c>
      <c r="G12" s="12">
        <v>13</v>
      </c>
      <c r="H12" s="8">
        <v>1.77</v>
      </c>
      <c r="I12" s="12">
        <v>0</v>
      </c>
    </row>
    <row r="13" spans="2:9" ht="15" customHeight="1" x14ac:dyDescent="0.2">
      <c r="B13" t="s">
        <v>79</v>
      </c>
      <c r="C13" s="12">
        <v>126</v>
      </c>
      <c r="D13" s="8">
        <v>8.15</v>
      </c>
      <c r="E13" s="12">
        <v>51</v>
      </c>
      <c r="F13" s="8">
        <v>6.42</v>
      </c>
      <c r="G13" s="12">
        <v>75</v>
      </c>
      <c r="H13" s="8">
        <v>10.19</v>
      </c>
      <c r="I13" s="12">
        <v>0</v>
      </c>
    </row>
    <row r="14" spans="2:9" ht="15" customHeight="1" x14ac:dyDescent="0.2">
      <c r="B14" t="s">
        <v>80</v>
      </c>
      <c r="C14" s="12">
        <v>59</v>
      </c>
      <c r="D14" s="8">
        <v>3.82</v>
      </c>
      <c r="E14" s="12">
        <v>33</v>
      </c>
      <c r="F14" s="8">
        <v>4.16</v>
      </c>
      <c r="G14" s="12">
        <v>26</v>
      </c>
      <c r="H14" s="8">
        <v>3.53</v>
      </c>
      <c r="I14" s="12">
        <v>0</v>
      </c>
    </row>
    <row r="15" spans="2:9" ht="15" customHeight="1" x14ac:dyDescent="0.2">
      <c r="B15" t="s">
        <v>81</v>
      </c>
      <c r="C15" s="12">
        <v>137</v>
      </c>
      <c r="D15" s="8">
        <v>8.86</v>
      </c>
      <c r="E15" s="12">
        <v>112</v>
      </c>
      <c r="F15" s="8">
        <v>14.11</v>
      </c>
      <c r="G15" s="12">
        <v>22</v>
      </c>
      <c r="H15" s="8">
        <v>2.99</v>
      </c>
      <c r="I15" s="12">
        <v>0</v>
      </c>
    </row>
    <row r="16" spans="2:9" ht="15" customHeight="1" x14ac:dyDescent="0.2">
      <c r="B16" t="s">
        <v>82</v>
      </c>
      <c r="C16" s="12">
        <v>161</v>
      </c>
      <c r="D16" s="8">
        <v>10.41</v>
      </c>
      <c r="E16" s="12">
        <v>127</v>
      </c>
      <c r="F16" s="8">
        <v>15.99</v>
      </c>
      <c r="G16" s="12">
        <v>34</v>
      </c>
      <c r="H16" s="8">
        <v>4.62</v>
      </c>
      <c r="I16" s="12">
        <v>0</v>
      </c>
    </row>
    <row r="17" spans="2:9" ht="15" customHeight="1" x14ac:dyDescent="0.2">
      <c r="B17" t="s">
        <v>83</v>
      </c>
      <c r="C17" s="12">
        <v>97</v>
      </c>
      <c r="D17" s="8">
        <v>6.27</v>
      </c>
      <c r="E17" s="12">
        <v>84</v>
      </c>
      <c r="F17" s="8">
        <v>10.58</v>
      </c>
      <c r="G17" s="12">
        <v>12</v>
      </c>
      <c r="H17" s="8">
        <v>1.63</v>
      </c>
      <c r="I17" s="12">
        <v>0</v>
      </c>
    </row>
    <row r="18" spans="2:9" ht="15" customHeight="1" x14ac:dyDescent="0.2">
      <c r="B18" t="s">
        <v>84</v>
      </c>
      <c r="C18" s="12">
        <v>84</v>
      </c>
      <c r="D18" s="8">
        <v>5.43</v>
      </c>
      <c r="E18" s="12">
        <v>55</v>
      </c>
      <c r="F18" s="8">
        <v>6.93</v>
      </c>
      <c r="G18" s="12">
        <v>26</v>
      </c>
      <c r="H18" s="8">
        <v>3.53</v>
      </c>
      <c r="I18" s="12">
        <v>3</v>
      </c>
    </row>
    <row r="19" spans="2:9" ht="15" customHeight="1" x14ac:dyDescent="0.2">
      <c r="B19" t="s">
        <v>85</v>
      </c>
      <c r="C19" s="12">
        <v>62</v>
      </c>
      <c r="D19" s="8">
        <v>4.01</v>
      </c>
      <c r="E19" s="12">
        <v>28</v>
      </c>
      <c r="F19" s="8">
        <v>3.53</v>
      </c>
      <c r="G19" s="12">
        <v>27</v>
      </c>
      <c r="H19" s="8">
        <v>3.67</v>
      </c>
      <c r="I19" s="12">
        <v>7</v>
      </c>
    </row>
    <row r="20" spans="2:9" ht="15" customHeight="1" x14ac:dyDescent="0.2">
      <c r="B20" s="9" t="s">
        <v>277</v>
      </c>
      <c r="C20" s="12">
        <f>SUM(LTBL_23208[総数／事業所数])</f>
        <v>1546</v>
      </c>
      <c r="E20" s="12">
        <f>SUBTOTAL(109,LTBL_23208[個人／事業所数])</f>
        <v>794</v>
      </c>
      <c r="G20" s="12">
        <f>SUBTOTAL(109,LTBL_23208[法人／事業所数])</f>
        <v>736</v>
      </c>
      <c r="I20" s="12">
        <f>SUBTOTAL(109,LTBL_23208[法人以外の団体／事業所数])</f>
        <v>10</v>
      </c>
    </row>
    <row r="21" spans="2:9" ht="15" customHeight="1" x14ac:dyDescent="0.2">
      <c r="E21" s="11">
        <f>LTBL_23208[[#Totals],[個人／事業所数]]/LTBL_23208[[#Totals],[総数／事業所数]]</f>
        <v>0.51358344113842169</v>
      </c>
      <c r="G21" s="11">
        <f>LTBL_23208[[#Totals],[法人／事業所数]]/LTBL_23208[[#Totals],[総数／事業所数]]</f>
        <v>0.47606727037516172</v>
      </c>
      <c r="I21" s="11">
        <f>LTBL_23208[[#Totals],[法人以外の団体／事業所数]]/LTBL_23208[[#Totals],[総数／事業所数]]</f>
        <v>6.4683053040103496E-3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132</v>
      </c>
      <c r="D24" s="8">
        <v>8.5399999999999991</v>
      </c>
      <c r="E24" s="12">
        <v>111</v>
      </c>
      <c r="F24" s="8">
        <v>13.98</v>
      </c>
      <c r="G24" s="12">
        <v>21</v>
      </c>
      <c r="H24" s="8">
        <v>2.85</v>
      </c>
      <c r="I24" s="12">
        <v>0</v>
      </c>
    </row>
    <row r="25" spans="2:9" ht="15" customHeight="1" x14ac:dyDescent="0.2">
      <c r="B25" t="s">
        <v>110</v>
      </c>
      <c r="C25" s="12">
        <v>127</v>
      </c>
      <c r="D25" s="8">
        <v>8.2100000000000009</v>
      </c>
      <c r="E25" s="12">
        <v>106</v>
      </c>
      <c r="F25" s="8">
        <v>13.35</v>
      </c>
      <c r="G25" s="12">
        <v>21</v>
      </c>
      <c r="H25" s="8">
        <v>2.85</v>
      </c>
      <c r="I25" s="12">
        <v>0</v>
      </c>
    </row>
    <row r="26" spans="2:9" ht="15" customHeight="1" x14ac:dyDescent="0.2">
      <c r="B26" t="s">
        <v>105</v>
      </c>
      <c r="C26" s="12">
        <v>110</v>
      </c>
      <c r="D26" s="8">
        <v>7.12</v>
      </c>
      <c r="E26" s="12">
        <v>50</v>
      </c>
      <c r="F26" s="8">
        <v>6.3</v>
      </c>
      <c r="G26" s="12">
        <v>60</v>
      </c>
      <c r="H26" s="8">
        <v>8.15</v>
      </c>
      <c r="I26" s="12">
        <v>0</v>
      </c>
    </row>
    <row r="27" spans="2:9" ht="15" customHeight="1" x14ac:dyDescent="0.2">
      <c r="B27" t="s">
        <v>107</v>
      </c>
      <c r="C27" s="12">
        <v>106</v>
      </c>
      <c r="D27" s="8">
        <v>6.86</v>
      </c>
      <c r="E27" s="12">
        <v>45</v>
      </c>
      <c r="F27" s="8">
        <v>5.67</v>
      </c>
      <c r="G27" s="12">
        <v>61</v>
      </c>
      <c r="H27" s="8">
        <v>8.2899999999999991</v>
      </c>
      <c r="I27" s="12">
        <v>0</v>
      </c>
    </row>
    <row r="28" spans="2:9" ht="15" customHeight="1" x14ac:dyDescent="0.2">
      <c r="B28" t="s">
        <v>112</v>
      </c>
      <c r="C28" s="12">
        <v>97</v>
      </c>
      <c r="D28" s="8">
        <v>6.27</v>
      </c>
      <c r="E28" s="12">
        <v>84</v>
      </c>
      <c r="F28" s="8">
        <v>10.58</v>
      </c>
      <c r="G28" s="12">
        <v>12</v>
      </c>
      <c r="H28" s="8">
        <v>1.63</v>
      </c>
      <c r="I28" s="12">
        <v>0</v>
      </c>
    </row>
    <row r="29" spans="2:9" ht="15" customHeight="1" x14ac:dyDescent="0.2">
      <c r="B29" t="s">
        <v>95</v>
      </c>
      <c r="C29" s="12">
        <v>79</v>
      </c>
      <c r="D29" s="8">
        <v>5.1100000000000003</v>
      </c>
      <c r="E29" s="12">
        <v>32</v>
      </c>
      <c r="F29" s="8">
        <v>4.03</v>
      </c>
      <c r="G29" s="12">
        <v>47</v>
      </c>
      <c r="H29" s="8">
        <v>6.39</v>
      </c>
      <c r="I29" s="12">
        <v>0</v>
      </c>
    </row>
    <row r="30" spans="2:9" ht="15" customHeight="1" x14ac:dyDescent="0.2">
      <c r="B30" t="s">
        <v>94</v>
      </c>
      <c r="C30" s="12">
        <v>66</v>
      </c>
      <c r="D30" s="8">
        <v>4.2699999999999996</v>
      </c>
      <c r="E30" s="12">
        <v>16</v>
      </c>
      <c r="F30" s="8">
        <v>2.02</v>
      </c>
      <c r="G30" s="12">
        <v>50</v>
      </c>
      <c r="H30" s="8">
        <v>6.79</v>
      </c>
      <c r="I30" s="12">
        <v>0</v>
      </c>
    </row>
    <row r="31" spans="2:9" ht="15" customHeight="1" x14ac:dyDescent="0.2">
      <c r="B31" t="s">
        <v>103</v>
      </c>
      <c r="C31" s="12">
        <v>64</v>
      </c>
      <c r="D31" s="8">
        <v>4.1399999999999997</v>
      </c>
      <c r="E31" s="12">
        <v>41</v>
      </c>
      <c r="F31" s="8">
        <v>5.16</v>
      </c>
      <c r="G31" s="12">
        <v>23</v>
      </c>
      <c r="H31" s="8">
        <v>3.13</v>
      </c>
      <c r="I31" s="12">
        <v>0</v>
      </c>
    </row>
    <row r="32" spans="2:9" ht="15" customHeight="1" x14ac:dyDescent="0.2">
      <c r="B32" t="s">
        <v>113</v>
      </c>
      <c r="C32" s="12">
        <v>60</v>
      </c>
      <c r="D32" s="8">
        <v>3.88</v>
      </c>
      <c r="E32" s="12">
        <v>55</v>
      </c>
      <c r="F32" s="8">
        <v>6.93</v>
      </c>
      <c r="G32" s="12">
        <v>5</v>
      </c>
      <c r="H32" s="8">
        <v>0.68</v>
      </c>
      <c r="I32" s="12">
        <v>0</v>
      </c>
    </row>
    <row r="33" spans="2:9" ht="15" customHeight="1" x14ac:dyDescent="0.2">
      <c r="B33" t="s">
        <v>96</v>
      </c>
      <c r="C33" s="12">
        <v>57</v>
      </c>
      <c r="D33" s="8">
        <v>3.69</v>
      </c>
      <c r="E33" s="12">
        <v>11</v>
      </c>
      <c r="F33" s="8">
        <v>1.39</v>
      </c>
      <c r="G33" s="12">
        <v>46</v>
      </c>
      <c r="H33" s="8">
        <v>6.25</v>
      </c>
      <c r="I33" s="12">
        <v>0</v>
      </c>
    </row>
    <row r="34" spans="2:9" ht="15" customHeight="1" x14ac:dyDescent="0.2">
      <c r="B34" t="s">
        <v>104</v>
      </c>
      <c r="C34" s="12">
        <v>56</v>
      </c>
      <c r="D34" s="8">
        <v>3.62</v>
      </c>
      <c r="E34" s="12">
        <v>32</v>
      </c>
      <c r="F34" s="8">
        <v>4.03</v>
      </c>
      <c r="G34" s="12">
        <v>24</v>
      </c>
      <c r="H34" s="8">
        <v>3.26</v>
      </c>
      <c r="I34" s="12">
        <v>0</v>
      </c>
    </row>
    <row r="35" spans="2:9" ht="15" customHeight="1" x14ac:dyDescent="0.2">
      <c r="B35" t="s">
        <v>102</v>
      </c>
      <c r="C35" s="12">
        <v>48</v>
      </c>
      <c r="D35" s="8">
        <v>3.1</v>
      </c>
      <c r="E35" s="12">
        <v>19</v>
      </c>
      <c r="F35" s="8">
        <v>2.39</v>
      </c>
      <c r="G35" s="12">
        <v>29</v>
      </c>
      <c r="H35" s="8">
        <v>3.94</v>
      </c>
      <c r="I35" s="12">
        <v>0</v>
      </c>
    </row>
    <row r="36" spans="2:9" ht="15" customHeight="1" x14ac:dyDescent="0.2">
      <c r="B36" t="s">
        <v>97</v>
      </c>
      <c r="C36" s="12">
        <v>42</v>
      </c>
      <c r="D36" s="8">
        <v>2.72</v>
      </c>
      <c r="E36" s="12">
        <v>9</v>
      </c>
      <c r="F36" s="8">
        <v>1.1299999999999999</v>
      </c>
      <c r="G36" s="12">
        <v>33</v>
      </c>
      <c r="H36" s="8">
        <v>4.4800000000000004</v>
      </c>
      <c r="I36" s="12">
        <v>0</v>
      </c>
    </row>
    <row r="37" spans="2:9" ht="15" customHeight="1" x14ac:dyDescent="0.2">
      <c r="B37" t="s">
        <v>108</v>
      </c>
      <c r="C37" s="12">
        <v>35</v>
      </c>
      <c r="D37" s="8">
        <v>2.2599999999999998</v>
      </c>
      <c r="E37" s="12">
        <v>21</v>
      </c>
      <c r="F37" s="8">
        <v>2.64</v>
      </c>
      <c r="G37" s="12">
        <v>14</v>
      </c>
      <c r="H37" s="8">
        <v>1.9</v>
      </c>
      <c r="I37" s="12">
        <v>0</v>
      </c>
    </row>
    <row r="38" spans="2:9" ht="15" customHeight="1" x14ac:dyDescent="0.2">
      <c r="B38" t="s">
        <v>125</v>
      </c>
      <c r="C38" s="12">
        <v>31</v>
      </c>
      <c r="D38" s="8">
        <v>2.0099999999999998</v>
      </c>
      <c r="E38" s="12">
        <v>21</v>
      </c>
      <c r="F38" s="8">
        <v>2.64</v>
      </c>
      <c r="G38" s="12">
        <v>10</v>
      </c>
      <c r="H38" s="8">
        <v>1.36</v>
      </c>
      <c r="I38" s="12">
        <v>0</v>
      </c>
    </row>
    <row r="39" spans="2:9" ht="15" customHeight="1" x14ac:dyDescent="0.2">
      <c r="B39" t="s">
        <v>100</v>
      </c>
      <c r="C39" s="12">
        <v>26</v>
      </c>
      <c r="D39" s="8">
        <v>1.68</v>
      </c>
      <c r="E39" s="12">
        <v>6</v>
      </c>
      <c r="F39" s="8">
        <v>0.76</v>
      </c>
      <c r="G39" s="12">
        <v>20</v>
      </c>
      <c r="H39" s="8">
        <v>2.72</v>
      </c>
      <c r="I39" s="12">
        <v>0</v>
      </c>
    </row>
    <row r="40" spans="2:9" ht="15" customHeight="1" x14ac:dyDescent="0.2">
      <c r="B40" t="s">
        <v>116</v>
      </c>
      <c r="C40" s="12">
        <v>24</v>
      </c>
      <c r="D40" s="8">
        <v>1.55</v>
      </c>
      <c r="E40" s="12">
        <v>0</v>
      </c>
      <c r="F40" s="8">
        <v>0</v>
      </c>
      <c r="G40" s="12">
        <v>21</v>
      </c>
      <c r="H40" s="8">
        <v>2.85</v>
      </c>
      <c r="I40" s="12">
        <v>3</v>
      </c>
    </row>
    <row r="41" spans="2:9" ht="15" customHeight="1" x14ac:dyDescent="0.2">
      <c r="B41" t="s">
        <v>99</v>
      </c>
      <c r="C41" s="12">
        <v>23</v>
      </c>
      <c r="D41" s="8">
        <v>1.49</v>
      </c>
      <c r="E41" s="12">
        <v>5</v>
      </c>
      <c r="F41" s="8">
        <v>0.63</v>
      </c>
      <c r="G41" s="12">
        <v>18</v>
      </c>
      <c r="H41" s="8">
        <v>2.4500000000000002</v>
      </c>
      <c r="I41" s="12">
        <v>0</v>
      </c>
    </row>
    <row r="42" spans="2:9" ht="15" customHeight="1" x14ac:dyDescent="0.2">
      <c r="B42" t="s">
        <v>101</v>
      </c>
      <c r="C42" s="12">
        <v>23</v>
      </c>
      <c r="D42" s="8">
        <v>1.49</v>
      </c>
      <c r="E42" s="12">
        <v>10</v>
      </c>
      <c r="F42" s="8">
        <v>1.26</v>
      </c>
      <c r="G42" s="12">
        <v>13</v>
      </c>
      <c r="H42" s="8">
        <v>1.77</v>
      </c>
      <c r="I42" s="12">
        <v>0</v>
      </c>
    </row>
    <row r="43" spans="2:9" ht="15" customHeight="1" x14ac:dyDescent="0.2">
      <c r="B43" t="s">
        <v>109</v>
      </c>
      <c r="C43" s="12">
        <v>21</v>
      </c>
      <c r="D43" s="8">
        <v>1.36</v>
      </c>
      <c r="E43" s="12">
        <v>11</v>
      </c>
      <c r="F43" s="8">
        <v>1.39</v>
      </c>
      <c r="G43" s="12">
        <v>10</v>
      </c>
      <c r="H43" s="8">
        <v>1.36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170</v>
      </c>
      <c r="C47" s="12">
        <v>73</v>
      </c>
      <c r="D47" s="8">
        <v>4.72</v>
      </c>
      <c r="E47" s="12">
        <v>67</v>
      </c>
      <c r="F47" s="8">
        <v>8.44</v>
      </c>
      <c r="G47" s="12">
        <v>6</v>
      </c>
      <c r="H47" s="8">
        <v>0.82</v>
      </c>
      <c r="I47" s="12">
        <v>0</v>
      </c>
    </row>
    <row r="48" spans="2:9" ht="15" customHeight="1" x14ac:dyDescent="0.2">
      <c r="B48" t="s">
        <v>168</v>
      </c>
      <c r="C48" s="12">
        <v>56</v>
      </c>
      <c r="D48" s="8">
        <v>3.62</v>
      </c>
      <c r="E48" s="12">
        <v>51</v>
      </c>
      <c r="F48" s="8">
        <v>6.42</v>
      </c>
      <c r="G48" s="12">
        <v>5</v>
      </c>
      <c r="H48" s="8">
        <v>0.68</v>
      </c>
      <c r="I48" s="12">
        <v>0</v>
      </c>
    </row>
    <row r="49" spans="2:9" ht="15" customHeight="1" x14ac:dyDescent="0.2">
      <c r="B49" t="s">
        <v>161</v>
      </c>
      <c r="C49" s="12">
        <v>55</v>
      </c>
      <c r="D49" s="8">
        <v>3.56</v>
      </c>
      <c r="E49" s="12">
        <v>24</v>
      </c>
      <c r="F49" s="8">
        <v>3.02</v>
      </c>
      <c r="G49" s="12">
        <v>31</v>
      </c>
      <c r="H49" s="8">
        <v>4.21</v>
      </c>
      <c r="I49" s="12">
        <v>0</v>
      </c>
    </row>
    <row r="50" spans="2:9" ht="15" customHeight="1" x14ac:dyDescent="0.2">
      <c r="B50" t="s">
        <v>171</v>
      </c>
      <c r="C50" s="12">
        <v>46</v>
      </c>
      <c r="D50" s="8">
        <v>2.98</v>
      </c>
      <c r="E50" s="12">
        <v>42</v>
      </c>
      <c r="F50" s="8">
        <v>5.29</v>
      </c>
      <c r="G50" s="12">
        <v>4</v>
      </c>
      <c r="H50" s="8">
        <v>0.54</v>
      </c>
      <c r="I50" s="12">
        <v>0</v>
      </c>
    </row>
    <row r="51" spans="2:9" ht="15" customHeight="1" x14ac:dyDescent="0.2">
      <c r="B51" t="s">
        <v>165</v>
      </c>
      <c r="C51" s="12">
        <v>45</v>
      </c>
      <c r="D51" s="8">
        <v>2.91</v>
      </c>
      <c r="E51" s="12">
        <v>43</v>
      </c>
      <c r="F51" s="8">
        <v>5.42</v>
      </c>
      <c r="G51" s="12">
        <v>2</v>
      </c>
      <c r="H51" s="8">
        <v>0.27</v>
      </c>
      <c r="I51" s="12">
        <v>0</v>
      </c>
    </row>
    <row r="52" spans="2:9" ht="15" customHeight="1" x14ac:dyDescent="0.2">
      <c r="B52" t="s">
        <v>167</v>
      </c>
      <c r="C52" s="12">
        <v>44</v>
      </c>
      <c r="D52" s="8">
        <v>2.85</v>
      </c>
      <c r="E52" s="12">
        <v>42</v>
      </c>
      <c r="F52" s="8">
        <v>5.29</v>
      </c>
      <c r="G52" s="12">
        <v>2</v>
      </c>
      <c r="H52" s="8">
        <v>0.27</v>
      </c>
      <c r="I52" s="12">
        <v>0</v>
      </c>
    </row>
    <row r="53" spans="2:9" ht="15" customHeight="1" x14ac:dyDescent="0.2">
      <c r="B53" t="s">
        <v>156</v>
      </c>
      <c r="C53" s="12">
        <v>39</v>
      </c>
      <c r="D53" s="8">
        <v>2.52</v>
      </c>
      <c r="E53" s="12">
        <v>20</v>
      </c>
      <c r="F53" s="8">
        <v>2.52</v>
      </c>
      <c r="G53" s="12">
        <v>19</v>
      </c>
      <c r="H53" s="8">
        <v>2.58</v>
      </c>
      <c r="I53" s="12">
        <v>0</v>
      </c>
    </row>
    <row r="54" spans="2:9" ht="15" customHeight="1" x14ac:dyDescent="0.2">
      <c r="B54" t="s">
        <v>157</v>
      </c>
      <c r="C54" s="12">
        <v>32</v>
      </c>
      <c r="D54" s="8">
        <v>2.0699999999999998</v>
      </c>
      <c r="E54" s="12">
        <v>12</v>
      </c>
      <c r="F54" s="8">
        <v>1.51</v>
      </c>
      <c r="G54" s="12">
        <v>20</v>
      </c>
      <c r="H54" s="8">
        <v>2.72</v>
      </c>
      <c r="I54" s="12">
        <v>0</v>
      </c>
    </row>
    <row r="55" spans="2:9" ht="15" customHeight="1" x14ac:dyDescent="0.2">
      <c r="B55" t="s">
        <v>163</v>
      </c>
      <c r="C55" s="12">
        <v>31</v>
      </c>
      <c r="D55" s="8">
        <v>2.0099999999999998</v>
      </c>
      <c r="E55" s="12">
        <v>22</v>
      </c>
      <c r="F55" s="8">
        <v>2.77</v>
      </c>
      <c r="G55" s="12">
        <v>9</v>
      </c>
      <c r="H55" s="8">
        <v>1.22</v>
      </c>
      <c r="I55" s="12">
        <v>0</v>
      </c>
    </row>
    <row r="56" spans="2:9" ht="15" customHeight="1" x14ac:dyDescent="0.2">
      <c r="B56" t="s">
        <v>158</v>
      </c>
      <c r="C56" s="12">
        <v>26</v>
      </c>
      <c r="D56" s="8">
        <v>1.68</v>
      </c>
      <c r="E56" s="12">
        <v>16</v>
      </c>
      <c r="F56" s="8">
        <v>2.02</v>
      </c>
      <c r="G56" s="12">
        <v>10</v>
      </c>
      <c r="H56" s="8">
        <v>1.36</v>
      </c>
      <c r="I56" s="12">
        <v>0</v>
      </c>
    </row>
    <row r="57" spans="2:9" ht="15" customHeight="1" x14ac:dyDescent="0.2">
      <c r="B57" t="s">
        <v>160</v>
      </c>
      <c r="C57" s="12">
        <v>24</v>
      </c>
      <c r="D57" s="8">
        <v>1.55</v>
      </c>
      <c r="E57" s="12">
        <v>4</v>
      </c>
      <c r="F57" s="8">
        <v>0.5</v>
      </c>
      <c r="G57" s="12">
        <v>20</v>
      </c>
      <c r="H57" s="8">
        <v>2.72</v>
      </c>
      <c r="I57" s="12">
        <v>0</v>
      </c>
    </row>
    <row r="58" spans="2:9" ht="15" customHeight="1" x14ac:dyDescent="0.2">
      <c r="B58" t="s">
        <v>164</v>
      </c>
      <c r="C58" s="12">
        <v>24</v>
      </c>
      <c r="D58" s="8">
        <v>1.55</v>
      </c>
      <c r="E58" s="12">
        <v>20</v>
      </c>
      <c r="F58" s="8">
        <v>2.52</v>
      </c>
      <c r="G58" s="12">
        <v>4</v>
      </c>
      <c r="H58" s="8">
        <v>0.54</v>
      </c>
      <c r="I58" s="12">
        <v>0</v>
      </c>
    </row>
    <row r="59" spans="2:9" ht="15" customHeight="1" x14ac:dyDescent="0.2">
      <c r="B59" t="s">
        <v>186</v>
      </c>
      <c r="C59" s="12">
        <v>23</v>
      </c>
      <c r="D59" s="8">
        <v>1.49</v>
      </c>
      <c r="E59" s="12">
        <v>12</v>
      </c>
      <c r="F59" s="8">
        <v>1.51</v>
      </c>
      <c r="G59" s="12">
        <v>11</v>
      </c>
      <c r="H59" s="8">
        <v>1.49</v>
      </c>
      <c r="I59" s="12">
        <v>0</v>
      </c>
    </row>
    <row r="60" spans="2:9" ht="15" customHeight="1" x14ac:dyDescent="0.2">
      <c r="B60" t="s">
        <v>154</v>
      </c>
      <c r="C60" s="12">
        <v>22</v>
      </c>
      <c r="D60" s="8">
        <v>1.42</v>
      </c>
      <c r="E60" s="12">
        <v>8</v>
      </c>
      <c r="F60" s="8">
        <v>1.01</v>
      </c>
      <c r="G60" s="12">
        <v>14</v>
      </c>
      <c r="H60" s="8">
        <v>1.9</v>
      </c>
      <c r="I60" s="12">
        <v>0</v>
      </c>
    </row>
    <row r="61" spans="2:9" ht="15" customHeight="1" x14ac:dyDescent="0.2">
      <c r="B61" t="s">
        <v>191</v>
      </c>
      <c r="C61" s="12">
        <v>22</v>
      </c>
      <c r="D61" s="8">
        <v>1.42</v>
      </c>
      <c r="E61" s="12">
        <v>6</v>
      </c>
      <c r="F61" s="8">
        <v>0.76</v>
      </c>
      <c r="G61" s="12">
        <v>16</v>
      </c>
      <c r="H61" s="8">
        <v>2.17</v>
      </c>
      <c r="I61" s="12">
        <v>0</v>
      </c>
    </row>
    <row r="62" spans="2:9" ht="15" customHeight="1" x14ac:dyDescent="0.2">
      <c r="B62" t="s">
        <v>169</v>
      </c>
      <c r="C62" s="12">
        <v>22</v>
      </c>
      <c r="D62" s="8">
        <v>1.42</v>
      </c>
      <c r="E62" s="12">
        <v>17</v>
      </c>
      <c r="F62" s="8">
        <v>2.14</v>
      </c>
      <c r="G62" s="12">
        <v>5</v>
      </c>
      <c r="H62" s="8">
        <v>0.68</v>
      </c>
      <c r="I62" s="12">
        <v>0</v>
      </c>
    </row>
    <row r="63" spans="2:9" ht="15" customHeight="1" x14ac:dyDescent="0.2">
      <c r="B63" t="s">
        <v>210</v>
      </c>
      <c r="C63" s="12">
        <v>21</v>
      </c>
      <c r="D63" s="8">
        <v>1.36</v>
      </c>
      <c r="E63" s="12">
        <v>16</v>
      </c>
      <c r="F63" s="8">
        <v>2.02</v>
      </c>
      <c r="G63" s="12">
        <v>5</v>
      </c>
      <c r="H63" s="8">
        <v>0.68</v>
      </c>
      <c r="I63" s="12">
        <v>0</v>
      </c>
    </row>
    <row r="64" spans="2:9" ht="15" customHeight="1" x14ac:dyDescent="0.2">
      <c r="B64" t="s">
        <v>166</v>
      </c>
      <c r="C64" s="12">
        <v>21</v>
      </c>
      <c r="D64" s="8">
        <v>1.36</v>
      </c>
      <c r="E64" s="12">
        <v>11</v>
      </c>
      <c r="F64" s="8">
        <v>1.39</v>
      </c>
      <c r="G64" s="12">
        <v>10</v>
      </c>
      <c r="H64" s="8">
        <v>1.36</v>
      </c>
      <c r="I64" s="12">
        <v>0</v>
      </c>
    </row>
    <row r="65" spans="2:9" ht="15" customHeight="1" x14ac:dyDescent="0.2">
      <c r="B65" t="s">
        <v>152</v>
      </c>
      <c r="C65" s="12">
        <v>19</v>
      </c>
      <c r="D65" s="8">
        <v>1.23</v>
      </c>
      <c r="E65" s="12">
        <v>3</v>
      </c>
      <c r="F65" s="8">
        <v>0.38</v>
      </c>
      <c r="G65" s="12">
        <v>16</v>
      </c>
      <c r="H65" s="8">
        <v>2.17</v>
      </c>
      <c r="I65" s="12">
        <v>0</v>
      </c>
    </row>
    <row r="66" spans="2:9" ht="15" customHeight="1" x14ac:dyDescent="0.2">
      <c r="B66" t="s">
        <v>153</v>
      </c>
      <c r="C66" s="12">
        <v>19</v>
      </c>
      <c r="D66" s="8">
        <v>1.23</v>
      </c>
      <c r="E66" s="12">
        <v>5</v>
      </c>
      <c r="F66" s="8">
        <v>0.63</v>
      </c>
      <c r="G66" s="12">
        <v>14</v>
      </c>
      <c r="H66" s="8">
        <v>1.9</v>
      </c>
      <c r="I66" s="12">
        <v>0</v>
      </c>
    </row>
    <row r="67" spans="2:9" ht="15" customHeight="1" x14ac:dyDescent="0.2">
      <c r="B67" t="s">
        <v>155</v>
      </c>
      <c r="C67" s="12">
        <v>19</v>
      </c>
      <c r="D67" s="8">
        <v>1.23</v>
      </c>
      <c r="E67" s="12">
        <v>3</v>
      </c>
      <c r="F67" s="8">
        <v>0.38</v>
      </c>
      <c r="G67" s="12">
        <v>16</v>
      </c>
      <c r="H67" s="8">
        <v>2.17</v>
      </c>
      <c r="I67" s="12">
        <v>0</v>
      </c>
    </row>
    <row r="68" spans="2:9" ht="15" customHeight="1" x14ac:dyDescent="0.2">
      <c r="B68" t="s">
        <v>196</v>
      </c>
      <c r="C68" s="12">
        <v>19</v>
      </c>
      <c r="D68" s="8">
        <v>1.23</v>
      </c>
      <c r="E68" s="12">
        <v>1</v>
      </c>
      <c r="F68" s="8">
        <v>0.13</v>
      </c>
      <c r="G68" s="12">
        <v>18</v>
      </c>
      <c r="H68" s="8">
        <v>2.4500000000000002</v>
      </c>
      <c r="I68" s="12">
        <v>0</v>
      </c>
    </row>
    <row r="69" spans="2:9" ht="15" customHeight="1" x14ac:dyDescent="0.2">
      <c r="B69" t="s">
        <v>193</v>
      </c>
      <c r="C69" s="12">
        <v>19</v>
      </c>
      <c r="D69" s="8">
        <v>1.23</v>
      </c>
      <c r="E69" s="12">
        <v>16</v>
      </c>
      <c r="F69" s="8">
        <v>2.02</v>
      </c>
      <c r="G69" s="12">
        <v>3</v>
      </c>
      <c r="H69" s="8">
        <v>0.41</v>
      </c>
      <c r="I69" s="12">
        <v>0</v>
      </c>
    </row>
    <row r="71" spans="2:9" ht="15" customHeight="1" x14ac:dyDescent="0.2">
      <c r="B71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0F77-9A53-49DD-9107-93305ED2CFB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306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0.13</v>
      </c>
      <c r="I5" s="12">
        <v>0</v>
      </c>
    </row>
    <row r="6" spans="2:9" ht="15" customHeight="1" x14ac:dyDescent="0.2">
      <c r="B6" t="s">
        <v>72</v>
      </c>
      <c r="C6" s="12">
        <v>269</v>
      </c>
      <c r="D6" s="8">
        <v>15.11</v>
      </c>
      <c r="E6" s="12">
        <v>129</v>
      </c>
      <c r="F6" s="8">
        <v>12.65</v>
      </c>
      <c r="G6" s="12">
        <v>140</v>
      </c>
      <c r="H6" s="8">
        <v>18.72</v>
      </c>
      <c r="I6" s="12">
        <v>0</v>
      </c>
    </row>
    <row r="7" spans="2:9" ht="15" customHeight="1" x14ac:dyDescent="0.2">
      <c r="B7" t="s">
        <v>73</v>
      </c>
      <c r="C7" s="12">
        <v>357</v>
      </c>
      <c r="D7" s="8">
        <v>20.059999999999999</v>
      </c>
      <c r="E7" s="12">
        <v>156</v>
      </c>
      <c r="F7" s="8">
        <v>15.29</v>
      </c>
      <c r="G7" s="12">
        <v>201</v>
      </c>
      <c r="H7" s="8">
        <v>26.87</v>
      </c>
      <c r="I7" s="12">
        <v>0</v>
      </c>
    </row>
    <row r="8" spans="2:9" ht="15" customHeight="1" x14ac:dyDescent="0.2">
      <c r="B8" t="s">
        <v>74</v>
      </c>
      <c r="C8" s="12">
        <v>5</v>
      </c>
      <c r="D8" s="8">
        <v>0.28000000000000003</v>
      </c>
      <c r="E8" s="12">
        <v>0</v>
      </c>
      <c r="F8" s="8">
        <v>0</v>
      </c>
      <c r="G8" s="12">
        <v>4</v>
      </c>
      <c r="H8" s="8">
        <v>0.53</v>
      </c>
      <c r="I8" s="12">
        <v>0</v>
      </c>
    </row>
    <row r="9" spans="2:9" ht="15" customHeight="1" x14ac:dyDescent="0.2">
      <c r="B9" t="s">
        <v>75</v>
      </c>
      <c r="C9" s="12">
        <v>8</v>
      </c>
      <c r="D9" s="8">
        <v>0.45</v>
      </c>
      <c r="E9" s="12">
        <v>2</v>
      </c>
      <c r="F9" s="8">
        <v>0.2</v>
      </c>
      <c r="G9" s="12">
        <v>6</v>
      </c>
      <c r="H9" s="8">
        <v>0.8</v>
      </c>
      <c r="I9" s="12">
        <v>0</v>
      </c>
    </row>
    <row r="10" spans="2:9" ht="15" customHeight="1" x14ac:dyDescent="0.2">
      <c r="B10" t="s">
        <v>76</v>
      </c>
      <c r="C10" s="12">
        <v>27</v>
      </c>
      <c r="D10" s="8">
        <v>1.52</v>
      </c>
      <c r="E10" s="12">
        <v>3</v>
      </c>
      <c r="F10" s="8">
        <v>0.28999999999999998</v>
      </c>
      <c r="G10" s="12">
        <v>24</v>
      </c>
      <c r="H10" s="8">
        <v>3.21</v>
      </c>
      <c r="I10" s="12">
        <v>0</v>
      </c>
    </row>
    <row r="11" spans="2:9" ht="15" customHeight="1" x14ac:dyDescent="0.2">
      <c r="B11" t="s">
        <v>77</v>
      </c>
      <c r="C11" s="12">
        <v>380</v>
      </c>
      <c r="D11" s="8">
        <v>21.35</v>
      </c>
      <c r="E11" s="12">
        <v>224</v>
      </c>
      <c r="F11" s="8">
        <v>21.96</v>
      </c>
      <c r="G11" s="12">
        <v>156</v>
      </c>
      <c r="H11" s="8">
        <v>20.86</v>
      </c>
      <c r="I11" s="12">
        <v>0</v>
      </c>
    </row>
    <row r="12" spans="2:9" ht="15" customHeight="1" x14ac:dyDescent="0.2">
      <c r="B12" t="s">
        <v>78</v>
      </c>
      <c r="C12" s="12">
        <v>9</v>
      </c>
      <c r="D12" s="8">
        <v>0.51</v>
      </c>
      <c r="E12" s="12">
        <v>4</v>
      </c>
      <c r="F12" s="8">
        <v>0.39</v>
      </c>
      <c r="G12" s="12">
        <v>5</v>
      </c>
      <c r="H12" s="8">
        <v>0.67</v>
      </c>
      <c r="I12" s="12">
        <v>0</v>
      </c>
    </row>
    <row r="13" spans="2:9" ht="15" customHeight="1" x14ac:dyDescent="0.2">
      <c r="B13" t="s">
        <v>79</v>
      </c>
      <c r="C13" s="12">
        <v>125</v>
      </c>
      <c r="D13" s="8">
        <v>7.02</v>
      </c>
      <c r="E13" s="12">
        <v>51</v>
      </c>
      <c r="F13" s="8">
        <v>5</v>
      </c>
      <c r="G13" s="12">
        <v>74</v>
      </c>
      <c r="H13" s="8">
        <v>9.89</v>
      </c>
      <c r="I13" s="12">
        <v>0</v>
      </c>
    </row>
    <row r="14" spans="2:9" ht="15" customHeight="1" x14ac:dyDescent="0.2">
      <c r="B14" t="s">
        <v>80</v>
      </c>
      <c r="C14" s="12">
        <v>70</v>
      </c>
      <c r="D14" s="8">
        <v>3.93</v>
      </c>
      <c r="E14" s="12">
        <v>54</v>
      </c>
      <c r="F14" s="8">
        <v>5.29</v>
      </c>
      <c r="G14" s="12">
        <v>16</v>
      </c>
      <c r="H14" s="8">
        <v>2.14</v>
      </c>
      <c r="I14" s="12">
        <v>0</v>
      </c>
    </row>
    <row r="15" spans="2:9" ht="15" customHeight="1" x14ac:dyDescent="0.2">
      <c r="B15" t="s">
        <v>81</v>
      </c>
      <c r="C15" s="12">
        <v>122</v>
      </c>
      <c r="D15" s="8">
        <v>6.85</v>
      </c>
      <c r="E15" s="12">
        <v>100</v>
      </c>
      <c r="F15" s="8">
        <v>9.8000000000000007</v>
      </c>
      <c r="G15" s="12">
        <v>20</v>
      </c>
      <c r="H15" s="8">
        <v>2.67</v>
      </c>
      <c r="I15" s="12">
        <v>0</v>
      </c>
    </row>
    <row r="16" spans="2:9" ht="15" customHeight="1" x14ac:dyDescent="0.2">
      <c r="B16" t="s">
        <v>82</v>
      </c>
      <c r="C16" s="12">
        <v>176</v>
      </c>
      <c r="D16" s="8">
        <v>9.89</v>
      </c>
      <c r="E16" s="12">
        <v>147</v>
      </c>
      <c r="F16" s="8">
        <v>14.41</v>
      </c>
      <c r="G16" s="12">
        <v>28</v>
      </c>
      <c r="H16" s="8">
        <v>3.74</v>
      </c>
      <c r="I16" s="12">
        <v>0</v>
      </c>
    </row>
    <row r="17" spans="2:9" ht="15" customHeight="1" x14ac:dyDescent="0.2">
      <c r="B17" t="s">
        <v>83</v>
      </c>
      <c r="C17" s="12">
        <v>81</v>
      </c>
      <c r="D17" s="8">
        <v>4.55</v>
      </c>
      <c r="E17" s="12">
        <v>62</v>
      </c>
      <c r="F17" s="8">
        <v>6.08</v>
      </c>
      <c r="G17" s="12">
        <v>13</v>
      </c>
      <c r="H17" s="8">
        <v>1.74</v>
      </c>
      <c r="I17" s="12">
        <v>0</v>
      </c>
    </row>
    <row r="18" spans="2:9" ht="15" customHeight="1" x14ac:dyDescent="0.2">
      <c r="B18" t="s">
        <v>84</v>
      </c>
      <c r="C18" s="12">
        <v>88</v>
      </c>
      <c r="D18" s="8">
        <v>4.9400000000000004</v>
      </c>
      <c r="E18" s="12">
        <v>56</v>
      </c>
      <c r="F18" s="8">
        <v>5.49</v>
      </c>
      <c r="G18" s="12">
        <v>31</v>
      </c>
      <c r="H18" s="8">
        <v>4.1399999999999997</v>
      </c>
      <c r="I18" s="12">
        <v>0</v>
      </c>
    </row>
    <row r="19" spans="2:9" ht="15" customHeight="1" x14ac:dyDescent="0.2">
      <c r="B19" t="s">
        <v>85</v>
      </c>
      <c r="C19" s="12">
        <v>62</v>
      </c>
      <c r="D19" s="8">
        <v>3.48</v>
      </c>
      <c r="E19" s="12">
        <v>32</v>
      </c>
      <c r="F19" s="8">
        <v>3.14</v>
      </c>
      <c r="G19" s="12">
        <v>29</v>
      </c>
      <c r="H19" s="8">
        <v>3.88</v>
      </c>
      <c r="I19" s="12">
        <v>0</v>
      </c>
    </row>
    <row r="20" spans="2:9" ht="15" customHeight="1" x14ac:dyDescent="0.2">
      <c r="B20" s="9" t="s">
        <v>277</v>
      </c>
      <c r="C20" s="12">
        <f>SUM(LTBL_23209[総数／事業所数])</f>
        <v>1780</v>
      </c>
      <c r="E20" s="12">
        <f>SUBTOTAL(109,LTBL_23209[個人／事業所数])</f>
        <v>1020</v>
      </c>
      <c r="G20" s="12">
        <f>SUBTOTAL(109,LTBL_23209[法人／事業所数])</f>
        <v>748</v>
      </c>
      <c r="I20" s="12">
        <f>SUBTOTAL(109,LTBL_23209[法人以外の団体／事業所数])</f>
        <v>0</v>
      </c>
    </row>
    <row r="21" spans="2:9" ht="15" customHeight="1" x14ac:dyDescent="0.2">
      <c r="E21" s="11">
        <f>LTBL_23209[[#Totals],[個人／事業所数]]/LTBL_23209[[#Totals],[総数／事業所数]]</f>
        <v>0.5730337078651685</v>
      </c>
      <c r="G21" s="11">
        <f>LTBL_23209[[#Totals],[法人／事業所数]]/LTBL_23209[[#Totals],[総数／事業所数]]</f>
        <v>0.42022471910112358</v>
      </c>
      <c r="I21" s="11">
        <f>LTBL_23209[[#Totals],[法人以外の団体／事業所数]]/LTBL_23209[[#Totals],[総数／事業所数]]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152</v>
      </c>
      <c r="D24" s="8">
        <v>8.5399999999999991</v>
      </c>
      <c r="E24" s="12">
        <v>134</v>
      </c>
      <c r="F24" s="8">
        <v>13.14</v>
      </c>
      <c r="G24" s="12">
        <v>18</v>
      </c>
      <c r="H24" s="8">
        <v>2.41</v>
      </c>
      <c r="I24" s="12">
        <v>0</v>
      </c>
    </row>
    <row r="25" spans="2:9" ht="15" customHeight="1" x14ac:dyDescent="0.2">
      <c r="B25" t="s">
        <v>105</v>
      </c>
      <c r="C25" s="12">
        <v>112</v>
      </c>
      <c r="D25" s="8">
        <v>6.29</v>
      </c>
      <c r="E25" s="12">
        <v>70</v>
      </c>
      <c r="F25" s="8">
        <v>6.86</v>
      </c>
      <c r="G25" s="12">
        <v>42</v>
      </c>
      <c r="H25" s="8">
        <v>5.61</v>
      </c>
      <c r="I25" s="12">
        <v>0</v>
      </c>
    </row>
    <row r="26" spans="2:9" ht="15" customHeight="1" x14ac:dyDescent="0.2">
      <c r="B26" t="s">
        <v>95</v>
      </c>
      <c r="C26" s="12">
        <v>106</v>
      </c>
      <c r="D26" s="8">
        <v>5.96</v>
      </c>
      <c r="E26" s="12">
        <v>71</v>
      </c>
      <c r="F26" s="8">
        <v>6.96</v>
      </c>
      <c r="G26" s="12">
        <v>35</v>
      </c>
      <c r="H26" s="8">
        <v>4.68</v>
      </c>
      <c r="I26" s="12">
        <v>0</v>
      </c>
    </row>
    <row r="27" spans="2:9" ht="15" customHeight="1" x14ac:dyDescent="0.2">
      <c r="B27" t="s">
        <v>110</v>
      </c>
      <c r="C27" s="12">
        <v>106</v>
      </c>
      <c r="D27" s="8">
        <v>5.96</v>
      </c>
      <c r="E27" s="12">
        <v>96</v>
      </c>
      <c r="F27" s="8">
        <v>9.41</v>
      </c>
      <c r="G27" s="12">
        <v>10</v>
      </c>
      <c r="H27" s="8">
        <v>1.34</v>
      </c>
      <c r="I27" s="12">
        <v>0</v>
      </c>
    </row>
    <row r="28" spans="2:9" ht="15" customHeight="1" x14ac:dyDescent="0.2">
      <c r="B28" t="s">
        <v>107</v>
      </c>
      <c r="C28" s="12">
        <v>101</v>
      </c>
      <c r="D28" s="8">
        <v>5.67</v>
      </c>
      <c r="E28" s="12">
        <v>41</v>
      </c>
      <c r="F28" s="8">
        <v>4.0199999999999996</v>
      </c>
      <c r="G28" s="12">
        <v>60</v>
      </c>
      <c r="H28" s="8">
        <v>8.02</v>
      </c>
      <c r="I28" s="12">
        <v>0</v>
      </c>
    </row>
    <row r="29" spans="2:9" ht="15" customHeight="1" x14ac:dyDescent="0.2">
      <c r="B29" t="s">
        <v>94</v>
      </c>
      <c r="C29" s="12">
        <v>99</v>
      </c>
      <c r="D29" s="8">
        <v>5.56</v>
      </c>
      <c r="E29" s="12">
        <v>33</v>
      </c>
      <c r="F29" s="8">
        <v>3.24</v>
      </c>
      <c r="G29" s="12">
        <v>66</v>
      </c>
      <c r="H29" s="8">
        <v>8.82</v>
      </c>
      <c r="I29" s="12">
        <v>0</v>
      </c>
    </row>
    <row r="30" spans="2:9" ht="15" customHeight="1" x14ac:dyDescent="0.2">
      <c r="B30" t="s">
        <v>112</v>
      </c>
      <c r="C30" s="12">
        <v>81</v>
      </c>
      <c r="D30" s="8">
        <v>4.55</v>
      </c>
      <c r="E30" s="12">
        <v>62</v>
      </c>
      <c r="F30" s="8">
        <v>6.08</v>
      </c>
      <c r="G30" s="12">
        <v>13</v>
      </c>
      <c r="H30" s="8">
        <v>1.74</v>
      </c>
      <c r="I30" s="12">
        <v>0</v>
      </c>
    </row>
    <row r="31" spans="2:9" ht="15" customHeight="1" x14ac:dyDescent="0.2">
      <c r="B31" t="s">
        <v>103</v>
      </c>
      <c r="C31" s="12">
        <v>73</v>
      </c>
      <c r="D31" s="8">
        <v>4.0999999999999996</v>
      </c>
      <c r="E31" s="12">
        <v>50</v>
      </c>
      <c r="F31" s="8">
        <v>4.9000000000000004</v>
      </c>
      <c r="G31" s="12">
        <v>23</v>
      </c>
      <c r="H31" s="8">
        <v>3.07</v>
      </c>
      <c r="I31" s="12">
        <v>0</v>
      </c>
    </row>
    <row r="32" spans="2:9" ht="15" customHeight="1" x14ac:dyDescent="0.2">
      <c r="B32" t="s">
        <v>96</v>
      </c>
      <c r="C32" s="12">
        <v>64</v>
      </c>
      <c r="D32" s="8">
        <v>3.6</v>
      </c>
      <c r="E32" s="12">
        <v>25</v>
      </c>
      <c r="F32" s="8">
        <v>2.4500000000000002</v>
      </c>
      <c r="G32" s="12">
        <v>39</v>
      </c>
      <c r="H32" s="8">
        <v>5.21</v>
      </c>
      <c r="I32" s="12">
        <v>0</v>
      </c>
    </row>
    <row r="33" spans="2:9" ht="15" customHeight="1" x14ac:dyDescent="0.2">
      <c r="B33" t="s">
        <v>113</v>
      </c>
      <c r="C33" s="12">
        <v>61</v>
      </c>
      <c r="D33" s="8">
        <v>3.43</v>
      </c>
      <c r="E33" s="12">
        <v>56</v>
      </c>
      <c r="F33" s="8">
        <v>5.49</v>
      </c>
      <c r="G33" s="12">
        <v>5</v>
      </c>
      <c r="H33" s="8">
        <v>0.67</v>
      </c>
      <c r="I33" s="12">
        <v>0</v>
      </c>
    </row>
    <row r="34" spans="2:9" ht="15" customHeight="1" x14ac:dyDescent="0.2">
      <c r="B34" t="s">
        <v>98</v>
      </c>
      <c r="C34" s="12">
        <v>58</v>
      </c>
      <c r="D34" s="8">
        <v>3.26</v>
      </c>
      <c r="E34" s="12">
        <v>25</v>
      </c>
      <c r="F34" s="8">
        <v>2.4500000000000002</v>
      </c>
      <c r="G34" s="12">
        <v>33</v>
      </c>
      <c r="H34" s="8">
        <v>4.41</v>
      </c>
      <c r="I34" s="12">
        <v>0</v>
      </c>
    </row>
    <row r="35" spans="2:9" ht="15" customHeight="1" x14ac:dyDescent="0.2">
      <c r="B35" t="s">
        <v>104</v>
      </c>
      <c r="C35" s="12">
        <v>58</v>
      </c>
      <c r="D35" s="8">
        <v>3.26</v>
      </c>
      <c r="E35" s="12">
        <v>43</v>
      </c>
      <c r="F35" s="8">
        <v>4.22</v>
      </c>
      <c r="G35" s="12">
        <v>15</v>
      </c>
      <c r="H35" s="8">
        <v>2.0099999999999998</v>
      </c>
      <c r="I35" s="12">
        <v>0</v>
      </c>
    </row>
    <row r="36" spans="2:9" ht="15" customHeight="1" x14ac:dyDescent="0.2">
      <c r="B36" t="s">
        <v>97</v>
      </c>
      <c r="C36" s="12">
        <v>54</v>
      </c>
      <c r="D36" s="8">
        <v>3.03</v>
      </c>
      <c r="E36" s="12">
        <v>14</v>
      </c>
      <c r="F36" s="8">
        <v>1.37</v>
      </c>
      <c r="G36" s="12">
        <v>40</v>
      </c>
      <c r="H36" s="8">
        <v>5.35</v>
      </c>
      <c r="I36" s="12">
        <v>0</v>
      </c>
    </row>
    <row r="37" spans="2:9" ht="15" customHeight="1" x14ac:dyDescent="0.2">
      <c r="B37" t="s">
        <v>126</v>
      </c>
      <c r="C37" s="12">
        <v>39</v>
      </c>
      <c r="D37" s="8">
        <v>2.19</v>
      </c>
      <c r="E37" s="12">
        <v>20</v>
      </c>
      <c r="F37" s="8">
        <v>1.96</v>
      </c>
      <c r="G37" s="12">
        <v>19</v>
      </c>
      <c r="H37" s="8">
        <v>2.54</v>
      </c>
      <c r="I37" s="12">
        <v>0</v>
      </c>
    </row>
    <row r="38" spans="2:9" ht="15" customHeight="1" x14ac:dyDescent="0.2">
      <c r="B38" t="s">
        <v>124</v>
      </c>
      <c r="C38" s="12">
        <v>38</v>
      </c>
      <c r="D38" s="8">
        <v>2.13</v>
      </c>
      <c r="E38" s="12">
        <v>16</v>
      </c>
      <c r="F38" s="8">
        <v>1.57</v>
      </c>
      <c r="G38" s="12">
        <v>22</v>
      </c>
      <c r="H38" s="8">
        <v>2.94</v>
      </c>
      <c r="I38" s="12">
        <v>0</v>
      </c>
    </row>
    <row r="39" spans="2:9" ht="15" customHeight="1" x14ac:dyDescent="0.2">
      <c r="B39" t="s">
        <v>108</v>
      </c>
      <c r="C39" s="12">
        <v>35</v>
      </c>
      <c r="D39" s="8">
        <v>1.97</v>
      </c>
      <c r="E39" s="12">
        <v>25</v>
      </c>
      <c r="F39" s="8">
        <v>2.4500000000000002</v>
      </c>
      <c r="G39" s="12">
        <v>10</v>
      </c>
      <c r="H39" s="8">
        <v>1.34</v>
      </c>
      <c r="I39" s="12">
        <v>0</v>
      </c>
    </row>
    <row r="40" spans="2:9" ht="15" customHeight="1" x14ac:dyDescent="0.2">
      <c r="B40" t="s">
        <v>109</v>
      </c>
      <c r="C40" s="12">
        <v>34</v>
      </c>
      <c r="D40" s="8">
        <v>1.91</v>
      </c>
      <c r="E40" s="12">
        <v>29</v>
      </c>
      <c r="F40" s="8">
        <v>2.84</v>
      </c>
      <c r="G40" s="12">
        <v>5</v>
      </c>
      <c r="H40" s="8">
        <v>0.67</v>
      </c>
      <c r="I40" s="12">
        <v>0</v>
      </c>
    </row>
    <row r="41" spans="2:9" ht="15" customHeight="1" x14ac:dyDescent="0.2">
      <c r="B41" t="s">
        <v>99</v>
      </c>
      <c r="C41" s="12">
        <v>33</v>
      </c>
      <c r="D41" s="8">
        <v>1.85</v>
      </c>
      <c r="E41" s="12">
        <v>9</v>
      </c>
      <c r="F41" s="8">
        <v>0.88</v>
      </c>
      <c r="G41" s="12">
        <v>24</v>
      </c>
      <c r="H41" s="8">
        <v>3.21</v>
      </c>
      <c r="I41" s="12">
        <v>0</v>
      </c>
    </row>
    <row r="42" spans="2:9" ht="15" customHeight="1" x14ac:dyDescent="0.2">
      <c r="B42" t="s">
        <v>102</v>
      </c>
      <c r="C42" s="12">
        <v>32</v>
      </c>
      <c r="D42" s="8">
        <v>1.8</v>
      </c>
      <c r="E42" s="12">
        <v>25</v>
      </c>
      <c r="F42" s="8">
        <v>2.4500000000000002</v>
      </c>
      <c r="G42" s="12">
        <v>7</v>
      </c>
      <c r="H42" s="8">
        <v>0.94</v>
      </c>
      <c r="I42" s="12">
        <v>0</v>
      </c>
    </row>
    <row r="43" spans="2:9" ht="15" customHeight="1" x14ac:dyDescent="0.2">
      <c r="B43" t="s">
        <v>122</v>
      </c>
      <c r="C43" s="12">
        <v>31</v>
      </c>
      <c r="D43" s="8">
        <v>1.74</v>
      </c>
      <c r="E43" s="12">
        <v>27</v>
      </c>
      <c r="F43" s="8">
        <v>2.65</v>
      </c>
      <c r="G43" s="12">
        <v>4</v>
      </c>
      <c r="H43" s="8">
        <v>0.53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76</v>
      </c>
      <c r="D47" s="8">
        <v>4.2699999999999996</v>
      </c>
      <c r="E47" s="12">
        <v>72</v>
      </c>
      <c r="F47" s="8">
        <v>7.06</v>
      </c>
      <c r="G47" s="12">
        <v>4</v>
      </c>
      <c r="H47" s="8">
        <v>0.53</v>
      </c>
      <c r="I47" s="12">
        <v>0</v>
      </c>
    </row>
    <row r="48" spans="2:9" ht="15" customHeight="1" x14ac:dyDescent="0.2">
      <c r="B48" t="s">
        <v>161</v>
      </c>
      <c r="C48" s="12">
        <v>64</v>
      </c>
      <c r="D48" s="8">
        <v>3.6</v>
      </c>
      <c r="E48" s="12">
        <v>34</v>
      </c>
      <c r="F48" s="8">
        <v>3.33</v>
      </c>
      <c r="G48" s="12">
        <v>30</v>
      </c>
      <c r="H48" s="8">
        <v>4.01</v>
      </c>
      <c r="I48" s="12">
        <v>0</v>
      </c>
    </row>
    <row r="49" spans="2:9" ht="15" customHeight="1" x14ac:dyDescent="0.2">
      <c r="B49" t="s">
        <v>170</v>
      </c>
      <c r="C49" s="12">
        <v>56</v>
      </c>
      <c r="D49" s="8">
        <v>3.15</v>
      </c>
      <c r="E49" s="12">
        <v>50</v>
      </c>
      <c r="F49" s="8">
        <v>4.9000000000000004</v>
      </c>
      <c r="G49" s="12">
        <v>6</v>
      </c>
      <c r="H49" s="8">
        <v>0.8</v>
      </c>
      <c r="I49" s="12">
        <v>0</v>
      </c>
    </row>
    <row r="50" spans="2:9" ht="15" customHeight="1" x14ac:dyDescent="0.2">
      <c r="B50" t="s">
        <v>205</v>
      </c>
      <c r="C50" s="12">
        <v>40</v>
      </c>
      <c r="D50" s="8">
        <v>2.25</v>
      </c>
      <c r="E50" s="12">
        <v>20</v>
      </c>
      <c r="F50" s="8">
        <v>1.96</v>
      </c>
      <c r="G50" s="12">
        <v>20</v>
      </c>
      <c r="H50" s="8">
        <v>2.67</v>
      </c>
      <c r="I50" s="12">
        <v>0</v>
      </c>
    </row>
    <row r="51" spans="2:9" ht="15" customHeight="1" x14ac:dyDescent="0.2">
      <c r="B51" t="s">
        <v>171</v>
      </c>
      <c r="C51" s="12">
        <v>40</v>
      </c>
      <c r="D51" s="8">
        <v>2.25</v>
      </c>
      <c r="E51" s="12">
        <v>37</v>
      </c>
      <c r="F51" s="8">
        <v>3.63</v>
      </c>
      <c r="G51" s="12">
        <v>3</v>
      </c>
      <c r="H51" s="8">
        <v>0.4</v>
      </c>
      <c r="I51" s="12">
        <v>0</v>
      </c>
    </row>
    <row r="52" spans="2:9" ht="15" customHeight="1" x14ac:dyDescent="0.2">
      <c r="B52" t="s">
        <v>158</v>
      </c>
      <c r="C52" s="12">
        <v>37</v>
      </c>
      <c r="D52" s="8">
        <v>2.08</v>
      </c>
      <c r="E52" s="12">
        <v>28</v>
      </c>
      <c r="F52" s="8">
        <v>2.75</v>
      </c>
      <c r="G52" s="12">
        <v>9</v>
      </c>
      <c r="H52" s="8">
        <v>1.2</v>
      </c>
      <c r="I52" s="12">
        <v>0</v>
      </c>
    </row>
    <row r="53" spans="2:9" ht="15" customHeight="1" x14ac:dyDescent="0.2">
      <c r="B53" t="s">
        <v>164</v>
      </c>
      <c r="C53" s="12">
        <v>35</v>
      </c>
      <c r="D53" s="8">
        <v>1.97</v>
      </c>
      <c r="E53" s="12">
        <v>31</v>
      </c>
      <c r="F53" s="8">
        <v>3.04</v>
      </c>
      <c r="G53" s="12">
        <v>4</v>
      </c>
      <c r="H53" s="8">
        <v>0.53</v>
      </c>
      <c r="I53" s="12">
        <v>0</v>
      </c>
    </row>
    <row r="54" spans="2:9" ht="15" customHeight="1" x14ac:dyDescent="0.2">
      <c r="B54" t="s">
        <v>156</v>
      </c>
      <c r="C54" s="12">
        <v>34</v>
      </c>
      <c r="D54" s="8">
        <v>1.91</v>
      </c>
      <c r="E54" s="12">
        <v>26</v>
      </c>
      <c r="F54" s="8">
        <v>2.5499999999999998</v>
      </c>
      <c r="G54" s="12">
        <v>8</v>
      </c>
      <c r="H54" s="8">
        <v>1.07</v>
      </c>
      <c r="I54" s="12">
        <v>0</v>
      </c>
    </row>
    <row r="55" spans="2:9" ht="15" customHeight="1" x14ac:dyDescent="0.2">
      <c r="B55" t="s">
        <v>202</v>
      </c>
      <c r="C55" s="12">
        <v>33</v>
      </c>
      <c r="D55" s="8">
        <v>1.85</v>
      </c>
      <c r="E55" s="12">
        <v>13</v>
      </c>
      <c r="F55" s="8">
        <v>1.27</v>
      </c>
      <c r="G55" s="12">
        <v>20</v>
      </c>
      <c r="H55" s="8">
        <v>2.67</v>
      </c>
      <c r="I55" s="12">
        <v>0</v>
      </c>
    </row>
    <row r="56" spans="2:9" ht="15" customHeight="1" x14ac:dyDescent="0.2">
      <c r="B56" t="s">
        <v>167</v>
      </c>
      <c r="C56" s="12">
        <v>33</v>
      </c>
      <c r="D56" s="8">
        <v>1.85</v>
      </c>
      <c r="E56" s="12">
        <v>33</v>
      </c>
      <c r="F56" s="8">
        <v>3.24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154</v>
      </c>
      <c r="C57" s="12">
        <v>32</v>
      </c>
      <c r="D57" s="8">
        <v>1.8</v>
      </c>
      <c r="E57" s="12">
        <v>11</v>
      </c>
      <c r="F57" s="8">
        <v>1.08</v>
      </c>
      <c r="G57" s="12">
        <v>21</v>
      </c>
      <c r="H57" s="8">
        <v>2.81</v>
      </c>
      <c r="I57" s="12">
        <v>0</v>
      </c>
    </row>
    <row r="58" spans="2:9" ht="15" customHeight="1" x14ac:dyDescent="0.2">
      <c r="B58" t="s">
        <v>197</v>
      </c>
      <c r="C58" s="12">
        <v>32</v>
      </c>
      <c r="D58" s="8">
        <v>1.8</v>
      </c>
      <c r="E58" s="12">
        <v>14</v>
      </c>
      <c r="F58" s="8">
        <v>1.37</v>
      </c>
      <c r="G58" s="12">
        <v>18</v>
      </c>
      <c r="H58" s="8">
        <v>2.41</v>
      </c>
      <c r="I58" s="12">
        <v>0</v>
      </c>
    </row>
    <row r="59" spans="2:9" ht="15" customHeight="1" x14ac:dyDescent="0.2">
      <c r="B59" t="s">
        <v>188</v>
      </c>
      <c r="C59" s="12">
        <v>31</v>
      </c>
      <c r="D59" s="8">
        <v>1.74</v>
      </c>
      <c r="E59" s="12">
        <v>27</v>
      </c>
      <c r="F59" s="8">
        <v>2.65</v>
      </c>
      <c r="G59" s="12">
        <v>4</v>
      </c>
      <c r="H59" s="8">
        <v>0.53</v>
      </c>
      <c r="I59" s="12">
        <v>0</v>
      </c>
    </row>
    <row r="60" spans="2:9" ht="15" customHeight="1" x14ac:dyDescent="0.2">
      <c r="B60" t="s">
        <v>153</v>
      </c>
      <c r="C60" s="12">
        <v>30</v>
      </c>
      <c r="D60" s="8">
        <v>1.69</v>
      </c>
      <c r="E60" s="12">
        <v>8</v>
      </c>
      <c r="F60" s="8">
        <v>0.78</v>
      </c>
      <c r="G60" s="12">
        <v>22</v>
      </c>
      <c r="H60" s="8">
        <v>2.94</v>
      </c>
      <c r="I60" s="12">
        <v>0</v>
      </c>
    </row>
    <row r="61" spans="2:9" ht="15" customHeight="1" x14ac:dyDescent="0.2">
      <c r="B61" t="s">
        <v>166</v>
      </c>
      <c r="C61" s="12">
        <v>30</v>
      </c>
      <c r="D61" s="8">
        <v>1.69</v>
      </c>
      <c r="E61" s="12">
        <v>20</v>
      </c>
      <c r="F61" s="8">
        <v>1.96</v>
      </c>
      <c r="G61" s="12">
        <v>10</v>
      </c>
      <c r="H61" s="8">
        <v>1.34</v>
      </c>
      <c r="I61" s="12">
        <v>0</v>
      </c>
    </row>
    <row r="62" spans="2:9" ht="15" customHeight="1" x14ac:dyDescent="0.2">
      <c r="B62" t="s">
        <v>186</v>
      </c>
      <c r="C62" s="12">
        <v>27</v>
      </c>
      <c r="D62" s="8">
        <v>1.52</v>
      </c>
      <c r="E62" s="12">
        <v>18</v>
      </c>
      <c r="F62" s="8">
        <v>1.76</v>
      </c>
      <c r="G62" s="12">
        <v>9</v>
      </c>
      <c r="H62" s="8">
        <v>1.2</v>
      </c>
      <c r="I62" s="12">
        <v>0</v>
      </c>
    </row>
    <row r="63" spans="2:9" ht="15" customHeight="1" x14ac:dyDescent="0.2">
      <c r="B63" t="s">
        <v>196</v>
      </c>
      <c r="C63" s="12">
        <v>26</v>
      </c>
      <c r="D63" s="8">
        <v>1.46</v>
      </c>
      <c r="E63" s="12">
        <v>6</v>
      </c>
      <c r="F63" s="8">
        <v>0.59</v>
      </c>
      <c r="G63" s="12">
        <v>20</v>
      </c>
      <c r="H63" s="8">
        <v>2.67</v>
      </c>
      <c r="I63" s="12">
        <v>0</v>
      </c>
    </row>
    <row r="64" spans="2:9" ht="15" customHeight="1" x14ac:dyDescent="0.2">
      <c r="B64" t="s">
        <v>160</v>
      </c>
      <c r="C64" s="12">
        <v>24</v>
      </c>
      <c r="D64" s="8">
        <v>1.35</v>
      </c>
      <c r="E64" s="12">
        <v>4</v>
      </c>
      <c r="F64" s="8">
        <v>0.39</v>
      </c>
      <c r="G64" s="12">
        <v>20</v>
      </c>
      <c r="H64" s="8">
        <v>2.67</v>
      </c>
      <c r="I64" s="12">
        <v>0</v>
      </c>
    </row>
    <row r="65" spans="2:9" ht="15" customHeight="1" x14ac:dyDescent="0.2">
      <c r="B65" t="s">
        <v>162</v>
      </c>
      <c r="C65" s="12">
        <v>22</v>
      </c>
      <c r="D65" s="8">
        <v>1.24</v>
      </c>
      <c r="E65" s="12">
        <v>19</v>
      </c>
      <c r="F65" s="8">
        <v>1.86</v>
      </c>
      <c r="G65" s="12">
        <v>3</v>
      </c>
      <c r="H65" s="8">
        <v>0.4</v>
      </c>
      <c r="I65" s="12">
        <v>0</v>
      </c>
    </row>
    <row r="66" spans="2:9" ht="15" customHeight="1" x14ac:dyDescent="0.2">
      <c r="B66" t="s">
        <v>165</v>
      </c>
      <c r="C66" s="12">
        <v>22</v>
      </c>
      <c r="D66" s="8">
        <v>1.24</v>
      </c>
      <c r="E66" s="12">
        <v>21</v>
      </c>
      <c r="F66" s="8">
        <v>2.06</v>
      </c>
      <c r="G66" s="12">
        <v>1</v>
      </c>
      <c r="H66" s="8">
        <v>0.13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F0EB7-E788-4744-881F-B0F02B3ED11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307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306</v>
      </c>
      <c r="D6" s="8">
        <v>11.53</v>
      </c>
      <c r="E6" s="12">
        <v>70</v>
      </c>
      <c r="F6" s="8">
        <v>5.93</v>
      </c>
      <c r="G6" s="12">
        <v>236</v>
      </c>
      <c r="H6" s="8">
        <v>16.05</v>
      </c>
      <c r="I6" s="12">
        <v>0</v>
      </c>
    </row>
    <row r="7" spans="2:9" ht="15" customHeight="1" x14ac:dyDescent="0.2">
      <c r="B7" t="s">
        <v>73</v>
      </c>
      <c r="C7" s="12">
        <v>321</v>
      </c>
      <c r="D7" s="8">
        <v>12.09</v>
      </c>
      <c r="E7" s="12">
        <v>80</v>
      </c>
      <c r="F7" s="8">
        <v>6.78</v>
      </c>
      <c r="G7" s="12">
        <v>241</v>
      </c>
      <c r="H7" s="8">
        <v>16.39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0.14000000000000001</v>
      </c>
      <c r="I8" s="12">
        <v>0</v>
      </c>
    </row>
    <row r="9" spans="2:9" ht="15" customHeight="1" x14ac:dyDescent="0.2">
      <c r="B9" t="s">
        <v>75</v>
      </c>
      <c r="C9" s="12">
        <v>24</v>
      </c>
      <c r="D9" s="8">
        <v>0.9</v>
      </c>
      <c r="E9" s="12">
        <v>1</v>
      </c>
      <c r="F9" s="8">
        <v>0.08</v>
      </c>
      <c r="G9" s="12">
        <v>23</v>
      </c>
      <c r="H9" s="8">
        <v>1.56</v>
      </c>
      <c r="I9" s="12">
        <v>0</v>
      </c>
    </row>
    <row r="10" spans="2:9" ht="15" customHeight="1" x14ac:dyDescent="0.2">
      <c r="B10" t="s">
        <v>76</v>
      </c>
      <c r="C10" s="12">
        <v>17</v>
      </c>
      <c r="D10" s="8">
        <v>0.64</v>
      </c>
      <c r="E10" s="12">
        <v>1</v>
      </c>
      <c r="F10" s="8">
        <v>0.08</v>
      </c>
      <c r="G10" s="12">
        <v>16</v>
      </c>
      <c r="H10" s="8">
        <v>1.0900000000000001</v>
      </c>
      <c r="I10" s="12">
        <v>0</v>
      </c>
    </row>
    <row r="11" spans="2:9" ht="15" customHeight="1" x14ac:dyDescent="0.2">
      <c r="B11" t="s">
        <v>77</v>
      </c>
      <c r="C11" s="12">
        <v>544</v>
      </c>
      <c r="D11" s="8">
        <v>20.49</v>
      </c>
      <c r="E11" s="12">
        <v>214</v>
      </c>
      <c r="F11" s="8">
        <v>18.14</v>
      </c>
      <c r="G11" s="12">
        <v>330</v>
      </c>
      <c r="H11" s="8">
        <v>22.45</v>
      </c>
      <c r="I11" s="12">
        <v>0</v>
      </c>
    </row>
    <row r="12" spans="2:9" ht="15" customHeight="1" x14ac:dyDescent="0.2">
      <c r="B12" t="s">
        <v>78</v>
      </c>
      <c r="C12" s="12">
        <v>17</v>
      </c>
      <c r="D12" s="8">
        <v>0.64</v>
      </c>
      <c r="E12" s="12">
        <v>3</v>
      </c>
      <c r="F12" s="8">
        <v>0.25</v>
      </c>
      <c r="G12" s="12">
        <v>14</v>
      </c>
      <c r="H12" s="8">
        <v>0.95</v>
      </c>
      <c r="I12" s="12">
        <v>0</v>
      </c>
    </row>
    <row r="13" spans="2:9" ht="15" customHeight="1" x14ac:dyDescent="0.2">
      <c r="B13" t="s">
        <v>79</v>
      </c>
      <c r="C13" s="12">
        <v>275</v>
      </c>
      <c r="D13" s="8">
        <v>10.36</v>
      </c>
      <c r="E13" s="12">
        <v>83</v>
      </c>
      <c r="F13" s="8">
        <v>7.03</v>
      </c>
      <c r="G13" s="12">
        <v>192</v>
      </c>
      <c r="H13" s="8">
        <v>13.06</v>
      </c>
      <c r="I13" s="12">
        <v>0</v>
      </c>
    </row>
    <row r="14" spans="2:9" ht="15" customHeight="1" x14ac:dyDescent="0.2">
      <c r="B14" t="s">
        <v>80</v>
      </c>
      <c r="C14" s="12">
        <v>140</v>
      </c>
      <c r="D14" s="8">
        <v>5.27</v>
      </c>
      <c r="E14" s="12">
        <v>66</v>
      </c>
      <c r="F14" s="8">
        <v>5.59</v>
      </c>
      <c r="G14" s="12">
        <v>74</v>
      </c>
      <c r="H14" s="8">
        <v>5.03</v>
      </c>
      <c r="I14" s="12">
        <v>0</v>
      </c>
    </row>
    <row r="15" spans="2:9" ht="15" customHeight="1" x14ac:dyDescent="0.2">
      <c r="B15" t="s">
        <v>81</v>
      </c>
      <c r="C15" s="12">
        <v>344</v>
      </c>
      <c r="D15" s="8">
        <v>12.96</v>
      </c>
      <c r="E15" s="12">
        <v>247</v>
      </c>
      <c r="F15" s="8">
        <v>20.93</v>
      </c>
      <c r="G15" s="12">
        <v>96</v>
      </c>
      <c r="H15" s="8">
        <v>6.53</v>
      </c>
      <c r="I15" s="12">
        <v>0</v>
      </c>
    </row>
    <row r="16" spans="2:9" ht="15" customHeight="1" x14ac:dyDescent="0.2">
      <c r="B16" t="s">
        <v>82</v>
      </c>
      <c r="C16" s="12">
        <v>314</v>
      </c>
      <c r="D16" s="8">
        <v>11.83</v>
      </c>
      <c r="E16" s="12">
        <v>226</v>
      </c>
      <c r="F16" s="8">
        <v>19.149999999999999</v>
      </c>
      <c r="G16" s="12">
        <v>88</v>
      </c>
      <c r="H16" s="8">
        <v>5.99</v>
      </c>
      <c r="I16" s="12">
        <v>0</v>
      </c>
    </row>
    <row r="17" spans="2:9" ht="15" customHeight="1" x14ac:dyDescent="0.2">
      <c r="B17" t="s">
        <v>83</v>
      </c>
      <c r="C17" s="12">
        <v>120</v>
      </c>
      <c r="D17" s="8">
        <v>4.5199999999999996</v>
      </c>
      <c r="E17" s="12">
        <v>85</v>
      </c>
      <c r="F17" s="8">
        <v>7.2</v>
      </c>
      <c r="G17" s="12">
        <v>31</v>
      </c>
      <c r="H17" s="8">
        <v>2.11</v>
      </c>
      <c r="I17" s="12">
        <v>1</v>
      </c>
    </row>
    <row r="18" spans="2:9" ht="15" customHeight="1" x14ac:dyDescent="0.2">
      <c r="B18" t="s">
        <v>84</v>
      </c>
      <c r="C18" s="12">
        <v>117</v>
      </c>
      <c r="D18" s="8">
        <v>4.41</v>
      </c>
      <c r="E18" s="12">
        <v>72</v>
      </c>
      <c r="F18" s="8">
        <v>6.1</v>
      </c>
      <c r="G18" s="12">
        <v>45</v>
      </c>
      <c r="H18" s="8">
        <v>3.06</v>
      </c>
      <c r="I18" s="12">
        <v>0</v>
      </c>
    </row>
    <row r="19" spans="2:9" ht="15" customHeight="1" x14ac:dyDescent="0.2">
      <c r="B19" t="s">
        <v>85</v>
      </c>
      <c r="C19" s="12">
        <v>114</v>
      </c>
      <c r="D19" s="8">
        <v>4.29</v>
      </c>
      <c r="E19" s="12">
        <v>32</v>
      </c>
      <c r="F19" s="8">
        <v>2.71</v>
      </c>
      <c r="G19" s="12">
        <v>82</v>
      </c>
      <c r="H19" s="8">
        <v>5.58</v>
      </c>
      <c r="I19" s="12">
        <v>0</v>
      </c>
    </row>
    <row r="20" spans="2:9" ht="15" customHeight="1" x14ac:dyDescent="0.2">
      <c r="B20" s="9" t="s">
        <v>277</v>
      </c>
      <c r="C20" s="12">
        <f>SUM(LTBL_23210[総数／事業所数])</f>
        <v>2655</v>
      </c>
      <c r="E20" s="12">
        <f>SUBTOTAL(109,LTBL_23210[個人／事業所数])</f>
        <v>1180</v>
      </c>
      <c r="G20" s="12">
        <f>SUBTOTAL(109,LTBL_23210[法人／事業所数])</f>
        <v>1470</v>
      </c>
      <c r="I20" s="12">
        <f>SUBTOTAL(109,LTBL_23210[法人以外の団体／事業所数])</f>
        <v>1</v>
      </c>
    </row>
    <row r="21" spans="2:9" ht="15" customHeight="1" x14ac:dyDescent="0.2">
      <c r="E21" s="11">
        <f>LTBL_23210[[#Totals],[個人／事業所数]]/LTBL_23210[[#Totals],[総数／事業所数]]</f>
        <v>0.44444444444444442</v>
      </c>
      <c r="G21" s="11">
        <f>LTBL_23210[[#Totals],[法人／事業所数]]/LTBL_23210[[#Totals],[総数／事業所数]]</f>
        <v>0.5536723163841808</v>
      </c>
      <c r="I21" s="11">
        <f>LTBL_23210[[#Totals],[法人以外の団体／事業所数]]/LTBL_23210[[#Totals],[総数／事業所数]]</f>
        <v>3.7664783427495291E-4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300</v>
      </c>
      <c r="D24" s="8">
        <v>11.3</v>
      </c>
      <c r="E24" s="12">
        <v>239</v>
      </c>
      <c r="F24" s="8">
        <v>20.25</v>
      </c>
      <c r="G24" s="12">
        <v>61</v>
      </c>
      <c r="H24" s="8">
        <v>4.1500000000000004</v>
      </c>
      <c r="I24" s="12">
        <v>0</v>
      </c>
    </row>
    <row r="25" spans="2:9" ht="15" customHeight="1" x14ac:dyDescent="0.2">
      <c r="B25" t="s">
        <v>111</v>
      </c>
      <c r="C25" s="12">
        <v>253</v>
      </c>
      <c r="D25" s="8">
        <v>9.5299999999999994</v>
      </c>
      <c r="E25" s="12">
        <v>197</v>
      </c>
      <c r="F25" s="8">
        <v>16.690000000000001</v>
      </c>
      <c r="G25" s="12">
        <v>56</v>
      </c>
      <c r="H25" s="8">
        <v>3.81</v>
      </c>
      <c r="I25" s="12">
        <v>0</v>
      </c>
    </row>
    <row r="26" spans="2:9" ht="15" customHeight="1" x14ac:dyDescent="0.2">
      <c r="B26" t="s">
        <v>107</v>
      </c>
      <c r="C26" s="12">
        <v>221</v>
      </c>
      <c r="D26" s="8">
        <v>8.32</v>
      </c>
      <c r="E26" s="12">
        <v>71</v>
      </c>
      <c r="F26" s="8">
        <v>6.02</v>
      </c>
      <c r="G26" s="12">
        <v>150</v>
      </c>
      <c r="H26" s="8">
        <v>10.199999999999999</v>
      </c>
      <c r="I26" s="12">
        <v>0</v>
      </c>
    </row>
    <row r="27" spans="2:9" ht="15" customHeight="1" x14ac:dyDescent="0.2">
      <c r="B27" t="s">
        <v>105</v>
      </c>
      <c r="C27" s="12">
        <v>156</v>
      </c>
      <c r="D27" s="8">
        <v>5.88</v>
      </c>
      <c r="E27" s="12">
        <v>77</v>
      </c>
      <c r="F27" s="8">
        <v>6.53</v>
      </c>
      <c r="G27" s="12">
        <v>79</v>
      </c>
      <c r="H27" s="8">
        <v>5.37</v>
      </c>
      <c r="I27" s="12">
        <v>0</v>
      </c>
    </row>
    <row r="28" spans="2:9" ht="15" customHeight="1" x14ac:dyDescent="0.2">
      <c r="B28" t="s">
        <v>112</v>
      </c>
      <c r="C28" s="12">
        <v>120</v>
      </c>
      <c r="D28" s="8">
        <v>4.5199999999999996</v>
      </c>
      <c r="E28" s="12">
        <v>85</v>
      </c>
      <c r="F28" s="8">
        <v>7.2</v>
      </c>
      <c r="G28" s="12">
        <v>31</v>
      </c>
      <c r="H28" s="8">
        <v>2.11</v>
      </c>
      <c r="I28" s="12">
        <v>1</v>
      </c>
    </row>
    <row r="29" spans="2:9" ht="15" customHeight="1" x14ac:dyDescent="0.2">
      <c r="B29" t="s">
        <v>95</v>
      </c>
      <c r="C29" s="12">
        <v>113</v>
      </c>
      <c r="D29" s="8">
        <v>4.26</v>
      </c>
      <c r="E29" s="12">
        <v>42</v>
      </c>
      <c r="F29" s="8">
        <v>3.56</v>
      </c>
      <c r="G29" s="12">
        <v>71</v>
      </c>
      <c r="H29" s="8">
        <v>4.83</v>
      </c>
      <c r="I29" s="12">
        <v>0</v>
      </c>
    </row>
    <row r="30" spans="2:9" ht="15" customHeight="1" x14ac:dyDescent="0.2">
      <c r="B30" t="s">
        <v>94</v>
      </c>
      <c r="C30" s="12">
        <v>106</v>
      </c>
      <c r="D30" s="8">
        <v>3.99</v>
      </c>
      <c r="E30" s="12">
        <v>16</v>
      </c>
      <c r="F30" s="8">
        <v>1.36</v>
      </c>
      <c r="G30" s="12">
        <v>90</v>
      </c>
      <c r="H30" s="8">
        <v>6.12</v>
      </c>
      <c r="I30" s="12">
        <v>0</v>
      </c>
    </row>
    <row r="31" spans="2:9" ht="15" customHeight="1" x14ac:dyDescent="0.2">
      <c r="B31" t="s">
        <v>96</v>
      </c>
      <c r="C31" s="12">
        <v>87</v>
      </c>
      <c r="D31" s="8">
        <v>3.28</v>
      </c>
      <c r="E31" s="12">
        <v>12</v>
      </c>
      <c r="F31" s="8">
        <v>1.02</v>
      </c>
      <c r="G31" s="12">
        <v>75</v>
      </c>
      <c r="H31" s="8">
        <v>5.0999999999999996</v>
      </c>
      <c r="I31" s="12">
        <v>0</v>
      </c>
    </row>
    <row r="32" spans="2:9" ht="15" customHeight="1" x14ac:dyDescent="0.2">
      <c r="B32" t="s">
        <v>104</v>
      </c>
      <c r="C32" s="12">
        <v>87</v>
      </c>
      <c r="D32" s="8">
        <v>3.28</v>
      </c>
      <c r="E32" s="12">
        <v>43</v>
      </c>
      <c r="F32" s="8">
        <v>3.64</v>
      </c>
      <c r="G32" s="12">
        <v>44</v>
      </c>
      <c r="H32" s="8">
        <v>2.99</v>
      </c>
      <c r="I32" s="12">
        <v>0</v>
      </c>
    </row>
    <row r="33" spans="2:9" ht="15" customHeight="1" x14ac:dyDescent="0.2">
      <c r="B33" t="s">
        <v>103</v>
      </c>
      <c r="C33" s="12">
        <v>85</v>
      </c>
      <c r="D33" s="8">
        <v>3.2</v>
      </c>
      <c r="E33" s="12">
        <v>40</v>
      </c>
      <c r="F33" s="8">
        <v>3.39</v>
      </c>
      <c r="G33" s="12">
        <v>45</v>
      </c>
      <c r="H33" s="8">
        <v>3.06</v>
      </c>
      <c r="I33" s="12">
        <v>0</v>
      </c>
    </row>
    <row r="34" spans="2:9" ht="15" customHeight="1" x14ac:dyDescent="0.2">
      <c r="B34" t="s">
        <v>113</v>
      </c>
      <c r="C34" s="12">
        <v>83</v>
      </c>
      <c r="D34" s="8">
        <v>3.13</v>
      </c>
      <c r="E34" s="12">
        <v>71</v>
      </c>
      <c r="F34" s="8">
        <v>6.02</v>
      </c>
      <c r="G34" s="12">
        <v>12</v>
      </c>
      <c r="H34" s="8">
        <v>0.82</v>
      </c>
      <c r="I34" s="12">
        <v>0</v>
      </c>
    </row>
    <row r="35" spans="2:9" ht="15" customHeight="1" x14ac:dyDescent="0.2">
      <c r="B35" t="s">
        <v>108</v>
      </c>
      <c r="C35" s="12">
        <v>82</v>
      </c>
      <c r="D35" s="8">
        <v>3.09</v>
      </c>
      <c r="E35" s="12">
        <v>45</v>
      </c>
      <c r="F35" s="8">
        <v>3.81</v>
      </c>
      <c r="G35" s="12">
        <v>37</v>
      </c>
      <c r="H35" s="8">
        <v>2.52</v>
      </c>
      <c r="I35" s="12">
        <v>0</v>
      </c>
    </row>
    <row r="36" spans="2:9" ht="15" customHeight="1" x14ac:dyDescent="0.2">
      <c r="B36" t="s">
        <v>98</v>
      </c>
      <c r="C36" s="12">
        <v>75</v>
      </c>
      <c r="D36" s="8">
        <v>2.82</v>
      </c>
      <c r="E36" s="12">
        <v>18</v>
      </c>
      <c r="F36" s="8">
        <v>1.53</v>
      </c>
      <c r="G36" s="12">
        <v>57</v>
      </c>
      <c r="H36" s="8">
        <v>3.88</v>
      </c>
      <c r="I36" s="12">
        <v>0</v>
      </c>
    </row>
    <row r="37" spans="2:9" ht="15" customHeight="1" x14ac:dyDescent="0.2">
      <c r="B37" t="s">
        <v>100</v>
      </c>
      <c r="C37" s="12">
        <v>64</v>
      </c>
      <c r="D37" s="8">
        <v>2.41</v>
      </c>
      <c r="E37" s="12">
        <v>10</v>
      </c>
      <c r="F37" s="8">
        <v>0.85</v>
      </c>
      <c r="G37" s="12">
        <v>54</v>
      </c>
      <c r="H37" s="8">
        <v>3.67</v>
      </c>
      <c r="I37" s="12">
        <v>0</v>
      </c>
    </row>
    <row r="38" spans="2:9" ht="15" customHeight="1" x14ac:dyDescent="0.2">
      <c r="B38" t="s">
        <v>109</v>
      </c>
      <c r="C38" s="12">
        <v>55</v>
      </c>
      <c r="D38" s="8">
        <v>2.0699999999999998</v>
      </c>
      <c r="E38" s="12">
        <v>21</v>
      </c>
      <c r="F38" s="8">
        <v>1.78</v>
      </c>
      <c r="G38" s="12">
        <v>34</v>
      </c>
      <c r="H38" s="8">
        <v>2.31</v>
      </c>
      <c r="I38" s="12">
        <v>0</v>
      </c>
    </row>
    <row r="39" spans="2:9" ht="15" customHeight="1" x14ac:dyDescent="0.2">
      <c r="B39" t="s">
        <v>97</v>
      </c>
      <c r="C39" s="12">
        <v>53</v>
      </c>
      <c r="D39" s="8">
        <v>2</v>
      </c>
      <c r="E39" s="12">
        <v>10</v>
      </c>
      <c r="F39" s="8">
        <v>0.85</v>
      </c>
      <c r="G39" s="12">
        <v>43</v>
      </c>
      <c r="H39" s="8">
        <v>2.93</v>
      </c>
      <c r="I39" s="12">
        <v>0</v>
      </c>
    </row>
    <row r="40" spans="2:9" ht="15" customHeight="1" x14ac:dyDescent="0.2">
      <c r="B40" t="s">
        <v>124</v>
      </c>
      <c r="C40" s="12">
        <v>46</v>
      </c>
      <c r="D40" s="8">
        <v>1.73</v>
      </c>
      <c r="E40" s="12">
        <v>13</v>
      </c>
      <c r="F40" s="8">
        <v>1.1000000000000001</v>
      </c>
      <c r="G40" s="12">
        <v>33</v>
      </c>
      <c r="H40" s="8">
        <v>2.2400000000000002</v>
      </c>
      <c r="I40" s="12">
        <v>0</v>
      </c>
    </row>
    <row r="41" spans="2:9" ht="15" customHeight="1" x14ac:dyDescent="0.2">
      <c r="B41" t="s">
        <v>106</v>
      </c>
      <c r="C41" s="12">
        <v>43</v>
      </c>
      <c r="D41" s="8">
        <v>1.62</v>
      </c>
      <c r="E41" s="12">
        <v>11</v>
      </c>
      <c r="F41" s="8">
        <v>0.93</v>
      </c>
      <c r="G41" s="12">
        <v>32</v>
      </c>
      <c r="H41" s="8">
        <v>2.1800000000000002</v>
      </c>
      <c r="I41" s="12">
        <v>0</v>
      </c>
    </row>
    <row r="42" spans="2:9" ht="15" customHeight="1" x14ac:dyDescent="0.2">
      <c r="B42" t="s">
        <v>102</v>
      </c>
      <c r="C42" s="12">
        <v>42</v>
      </c>
      <c r="D42" s="8">
        <v>1.58</v>
      </c>
      <c r="E42" s="12">
        <v>16</v>
      </c>
      <c r="F42" s="8">
        <v>1.36</v>
      </c>
      <c r="G42" s="12">
        <v>26</v>
      </c>
      <c r="H42" s="8">
        <v>1.77</v>
      </c>
      <c r="I42" s="12">
        <v>0</v>
      </c>
    </row>
    <row r="43" spans="2:9" ht="15" customHeight="1" x14ac:dyDescent="0.2">
      <c r="B43" t="s">
        <v>101</v>
      </c>
      <c r="C43" s="12">
        <v>40</v>
      </c>
      <c r="D43" s="8">
        <v>1.51</v>
      </c>
      <c r="E43" s="12">
        <v>13</v>
      </c>
      <c r="F43" s="8">
        <v>1.1000000000000001</v>
      </c>
      <c r="G43" s="12">
        <v>27</v>
      </c>
      <c r="H43" s="8">
        <v>1.84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127</v>
      </c>
      <c r="D47" s="8">
        <v>4.78</v>
      </c>
      <c r="E47" s="12">
        <v>61</v>
      </c>
      <c r="F47" s="8">
        <v>5.17</v>
      </c>
      <c r="G47" s="12">
        <v>66</v>
      </c>
      <c r="H47" s="8">
        <v>4.49</v>
      </c>
      <c r="I47" s="12">
        <v>0</v>
      </c>
    </row>
    <row r="48" spans="2:9" ht="15" customHeight="1" x14ac:dyDescent="0.2">
      <c r="B48" t="s">
        <v>168</v>
      </c>
      <c r="C48" s="12">
        <v>112</v>
      </c>
      <c r="D48" s="8">
        <v>4.22</v>
      </c>
      <c r="E48" s="12">
        <v>87</v>
      </c>
      <c r="F48" s="8">
        <v>7.37</v>
      </c>
      <c r="G48" s="12">
        <v>25</v>
      </c>
      <c r="H48" s="8">
        <v>1.7</v>
      </c>
      <c r="I48" s="12">
        <v>0</v>
      </c>
    </row>
    <row r="49" spans="2:9" ht="15" customHeight="1" x14ac:dyDescent="0.2">
      <c r="B49" t="s">
        <v>170</v>
      </c>
      <c r="C49" s="12">
        <v>84</v>
      </c>
      <c r="D49" s="8">
        <v>3.16</v>
      </c>
      <c r="E49" s="12">
        <v>65</v>
      </c>
      <c r="F49" s="8">
        <v>5.51</v>
      </c>
      <c r="G49" s="12">
        <v>18</v>
      </c>
      <c r="H49" s="8">
        <v>1.22</v>
      </c>
      <c r="I49" s="12">
        <v>1</v>
      </c>
    </row>
    <row r="50" spans="2:9" ht="15" customHeight="1" x14ac:dyDescent="0.2">
      <c r="B50" t="s">
        <v>167</v>
      </c>
      <c r="C50" s="12">
        <v>81</v>
      </c>
      <c r="D50" s="8">
        <v>3.05</v>
      </c>
      <c r="E50" s="12">
        <v>73</v>
      </c>
      <c r="F50" s="8">
        <v>6.19</v>
      </c>
      <c r="G50" s="12">
        <v>8</v>
      </c>
      <c r="H50" s="8">
        <v>0.54</v>
      </c>
      <c r="I50" s="12">
        <v>0</v>
      </c>
    </row>
    <row r="51" spans="2:9" ht="15" customHeight="1" x14ac:dyDescent="0.2">
      <c r="B51" t="s">
        <v>164</v>
      </c>
      <c r="C51" s="12">
        <v>76</v>
      </c>
      <c r="D51" s="8">
        <v>2.86</v>
      </c>
      <c r="E51" s="12">
        <v>64</v>
      </c>
      <c r="F51" s="8">
        <v>5.42</v>
      </c>
      <c r="G51" s="12">
        <v>12</v>
      </c>
      <c r="H51" s="8">
        <v>0.82</v>
      </c>
      <c r="I51" s="12">
        <v>0</v>
      </c>
    </row>
    <row r="52" spans="2:9" ht="15" customHeight="1" x14ac:dyDescent="0.2">
      <c r="B52" t="s">
        <v>171</v>
      </c>
      <c r="C52" s="12">
        <v>71</v>
      </c>
      <c r="D52" s="8">
        <v>2.67</v>
      </c>
      <c r="E52" s="12">
        <v>61</v>
      </c>
      <c r="F52" s="8">
        <v>5.17</v>
      </c>
      <c r="G52" s="12">
        <v>10</v>
      </c>
      <c r="H52" s="8">
        <v>0.68</v>
      </c>
      <c r="I52" s="12">
        <v>0</v>
      </c>
    </row>
    <row r="53" spans="2:9" ht="15" customHeight="1" x14ac:dyDescent="0.2">
      <c r="B53" t="s">
        <v>163</v>
      </c>
      <c r="C53" s="12">
        <v>61</v>
      </c>
      <c r="D53" s="8">
        <v>2.2999999999999998</v>
      </c>
      <c r="E53" s="12">
        <v>44</v>
      </c>
      <c r="F53" s="8">
        <v>3.73</v>
      </c>
      <c r="G53" s="12">
        <v>17</v>
      </c>
      <c r="H53" s="8">
        <v>1.1599999999999999</v>
      </c>
      <c r="I53" s="12">
        <v>0</v>
      </c>
    </row>
    <row r="54" spans="2:9" ht="15" customHeight="1" x14ac:dyDescent="0.2">
      <c r="B54" t="s">
        <v>176</v>
      </c>
      <c r="C54" s="12">
        <v>58</v>
      </c>
      <c r="D54" s="8">
        <v>2.1800000000000002</v>
      </c>
      <c r="E54" s="12">
        <v>50</v>
      </c>
      <c r="F54" s="8">
        <v>4.24</v>
      </c>
      <c r="G54" s="12">
        <v>8</v>
      </c>
      <c r="H54" s="8">
        <v>0.54</v>
      </c>
      <c r="I54" s="12">
        <v>0</v>
      </c>
    </row>
    <row r="55" spans="2:9" ht="15" customHeight="1" x14ac:dyDescent="0.2">
      <c r="B55" t="s">
        <v>160</v>
      </c>
      <c r="C55" s="12">
        <v>55</v>
      </c>
      <c r="D55" s="8">
        <v>2.0699999999999998</v>
      </c>
      <c r="E55" s="12">
        <v>3</v>
      </c>
      <c r="F55" s="8">
        <v>0.25</v>
      </c>
      <c r="G55" s="12">
        <v>52</v>
      </c>
      <c r="H55" s="8">
        <v>3.54</v>
      </c>
      <c r="I55" s="12">
        <v>0</v>
      </c>
    </row>
    <row r="56" spans="2:9" ht="15" customHeight="1" x14ac:dyDescent="0.2">
      <c r="B56" t="s">
        <v>156</v>
      </c>
      <c r="C56" s="12">
        <v>54</v>
      </c>
      <c r="D56" s="8">
        <v>2.0299999999999998</v>
      </c>
      <c r="E56" s="12">
        <v>28</v>
      </c>
      <c r="F56" s="8">
        <v>2.37</v>
      </c>
      <c r="G56" s="12">
        <v>26</v>
      </c>
      <c r="H56" s="8">
        <v>1.77</v>
      </c>
      <c r="I56" s="12">
        <v>0</v>
      </c>
    </row>
    <row r="57" spans="2:9" ht="15" customHeight="1" x14ac:dyDescent="0.2">
      <c r="B57" t="s">
        <v>186</v>
      </c>
      <c r="C57" s="12">
        <v>49</v>
      </c>
      <c r="D57" s="8">
        <v>1.85</v>
      </c>
      <c r="E57" s="12">
        <v>18</v>
      </c>
      <c r="F57" s="8">
        <v>1.53</v>
      </c>
      <c r="G57" s="12">
        <v>31</v>
      </c>
      <c r="H57" s="8">
        <v>2.11</v>
      </c>
      <c r="I57" s="12">
        <v>0</v>
      </c>
    </row>
    <row r="58" spans="2:9" ht="15" customHeight="1" x14ac:dyDescent="0.2">
      <c r="B58" t="s">
        <v>165</v>
      </c>
      <c r="C58" s="12">
        <v>46</v>
      </c>
      <c r="D58" s="8">
        <v>1.73</v>
      </c>
      <c r="E58" s="12">
        <v>43</v>
      </c>
      <c r="F58" s="8">
        <v>3.64</v>
      </c>
      <c r="G58" s="12">
        <v>3</v>
      </c>
      <c r="H58" s="8">
        <v>0.2</v>
      </c>
      <c r="I58" s="12">
        <v>0</v>
      </c>
    </row>
    <row r="59" spans="2:9" ht="15" customHeight="1" x14ac:dyDescent="0.2">
      <c r="B59" t="s">
        <v>158</v>
      </c>
      <c r="C59" s="12">
        <v>44</v>
      </c>
      <c r="D59" s="8">
        <v>1.66</v>
      </c>
      <c r="E59" s="12">
        <v>25</v>
      </c>
      <c r="F59" s="8">
        <v>2.12</v>
      </c>
      <c r="G59" s="12">
        <v>19</v>
      </c>
      <c r="H59" s="8">
        <v>1.29</v>
      </c>
      <c r="I59" s="12">
        <v>0</v>
      </c>
    </row>
    <row r="60" spans="2:9" ht="15" customHeight="1" x14ac:dyDescent="0.2">
      <c r="B60" t="s">
        <v>197</v>
      </c>
      <c r="C60" s="12">
        <v>42</v>
      </c>
      <c r="D60" s="8">
        <v>1.58</v>
      </c>
      <c r="E60" s="12">
        <v>10</v>
      </c>
      <c r="F60" s="8">
        <v>0.85</v>
      </c>
      <c r="G60" s="12">
        <v>32</v>
      </c>
      <c r="H60" s="8">
        <v>2.1800000000000002</v>
      </c>
      <c r="I60" s="12">
        <v>0</v>
      </c>
    </row>
    <row r="61" spans="2:9" ht="15" customHeight="1" x14ac:dyDescent="0.2">
      <c r="B61" t="s">
        <v>202</v>
      </c>
      <c r="C61" s="12">
        <v>40</v>
      </c>
      <c r="D61" s="8">
        <v>1.51</v>
      </c>
      <c r="E61" s="12">
        <v>12</v>
      </c>
      <c r="F61" s="8">
        <v>1.02</v>
      </c>
      <c r="G61" s="12">
        <v>28</v>
      </c>
      <c r="H61" s="8">
        <v>1.9</v>
      </c>
      <c r="I61" s="12">
        <v>0</v>
      </c>
    </row>
    <row r="62" spans="2:9" ht="15" customHeight="1" x14ac:dyDescent="0.2">
      <c r="B62" t="s">
        <v>157</v>
      </c>
      <c r="C62" s="12">
        <v>39</v>
      </c>
      <c r="D62" s="8">
        <v>1.47</v>
      </c>
      <c r="E62" s="12">
        <v>12</v>
      </c>
      <c r="F62" s="8">
        <v>1.02</v>
      </c>
      <c r="G62" s="12">
        <v>27</v>
      </c>
      <c r="H62" s="8">
        <v>1.84</v>
      </c>
      <c r="I62" s="12">
        <v>0</v>
      </c>
    </row>
    <row r="63" spans="2:9" ht="15" customHeight="1" x14ac:dyDescent="0.2">
      <c r="B63" t="s">
        <v>172</v>
      </c>
      <c r="C63" s="12">
        <v>38</v>
      </c>
      <c r="D63" s="8">
        <v>1.43</v>
      </c>
      <c r="E63" s="12">
        <v>8</v>
      </c>
      <c r="F63" s="8">
        <v>0.68</v>
      </c>
      <c r="G63" s="12">
        <v>30</v>
      </c>
      <c r="H63" s="8">
        <v>2.04</v>
      </c>
      <c r="I63" s="12">
        <v>0</v>
      </c>
    </row>
    <row r="64" spans="2:9" ht="15" customHeight="1" x14ac:dyDescent="0.2">
      <c r="B64" t="s">
        <v>200</v>
      </c>
      <c r="C64" s="12">
        <v>37</v>
      </c>
      <c r="D64" s="8">
        <v>1.39</v>
      </c>
      <c r="E64" s="12">
        <v>14</v>
      </c>
      <c r="F64" s="8">
        <v>1.19</v>
      </c>
      <c r="G64" s="12">
        <v>23</v>
      </c>
      <c r="H64" s="8">
        <v>1.56</v>
      </c>
      <c r="I64" s="12">
        <v>0</v>
      </c>
    </row>
    <row r="65" spans="2:9" ht="15" customHeight="1" x14ac:dyDescent="0.2">
      <c r="B65" t="s">
        <v>153</v>
      </c>
      <c r="C65" s="12">
        <v>36</v>
      </c>
      <c r="D65" s="8">
        <v>1.36</v>
      </c>
      <c r="E65" s="12">
        <v>5</v>
      </c>
      <c r="F65" s="8">
        <v>0.42</v>
      </c>
      <c r="G65" s="12">
        <v>31</v>
      </c>
      <c r="H65" s="8">
        <v>2.11</v>
      </c>
      <c r="I65" s="12">
        <v>0</v>
      </c>
    </row>
    <row r="66" spans="2:9" ht="15" customHeight="1" x14ac:dyDescent="0.2">
      <c r="B66" t="s">
        <v>154</v>
      </c>
      <c r="C66" s="12">
        <v>35</v>
      </c>
      <c r="D66" s="8">
        <v>1.32</v>
      </c>
      <c r="E66" s="12">
        <v>9</v>
      </c>
      <c r="F66" s="8">
        <v>0.76</v>
      </c>
      <c r="G66" s="12">
        <v>26</v>
      </c>
      <c r="H66" s="8">
        <v>1.77</v>
      </c>
      <c r="I66" s="12">
        <v>0</v>
      </c>
    </row>
    <row r="67" spans="2:9" ht="15" customHeight="1" x14ac:dyDescent="0.2">
      <c r="B67" t="s">
        <v>159</v>
      </c>
      <c r="C67" s="12">
        <v>35</v>
      </c>
      <c r="D67" s="8">
        <v>1.32</v>
      </c>
      <c r="E67" s="12">
        <v>10</v>
      </c>
      <c r="F67" s="8">
        <v>0.85</v>
      </c>
      <c r="G67" s="12">
        <v>25</v>
      </c>
      <c r="H67" s="8">
        <v>1.7</v>
      </c>
      <c r="I67" s="12">
        <v>0</v>
      </c>
    </row>
    <row r="68" spans="2:9" ht="15" customHeight="1" x14ac:dyDescent="0.2">
      <c r="B68" t="s">
        <v>211</v>
      </c>
      <c r="C68" s="12">
        <v>35</v>
      </c>
      <c r="D68" s="8">
        <v>1.32</v>
      </c>
      <c r="E68" s="12">
        <v>6</v>
      </c>
      <c r="F68" s="8">
        <v>0.51</v>
      </c>
      <c r="G68" s="12">
        <v>29</v>
      </c>
      <c r="H68" s="8">
        <v>1.97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F694-0EF6-403C-BF0B-273633CF7F4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308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72</v>
      </c>
      <c r="C6" s="12">
        <v>1037</v>
      </c>
      <c r="D6" s="8">
        <v>15.29</v>
      </c>
      <c r="E6" s="12">
        <v>287</v>
      </c>
      <c r="F6" s="8">
        <v>8.84</v>
      </c>
      <c r="G6" s="12">
        <v>750</v>
      </c>
      <c r="H6" s="8">
        <v>21.44</v>
      </c>
      <c r="I6" s="12">
        <v>0</v>
      </c>
    </row>
    <row r="7" spans="2:9" ht="15" customHeight="1" x14ac:dyDescent="0.2">
      <c r="B7" t="s">
        <v>73</v>
      </c>
      <c r="C7" s="12">
        <v>727</v>
      </c>
      <c r="D7" s="8">
        <v>10.72</v>
      </c>
      <c r="E7" s="12">
        <v>157</v>
      </c>
      <c r="F7" s="8">
        <v>4.84</v>
      </c>
      <c r="G7" s="12">
        <v>569</v>
      </c>
      <c r="H7" s="8">
        <v>16.27</v>
      </c>
      <c r="I7" s="12">
        <v>1</v>
      </c>
    </row>
    <row r="8" spans="2:9" ht="15" customHeight="1" x14ac:dyDescent="0.2">
      <c r="B8" t="s">
        <v>74</v>
      </c>
      <c r="C8" s="12">
        <v>15</v>
      </c>
      <c r="D8" s="8">
        <v>0.22</v>
      </c>
      <c r="E8" s="12">
        <v>1</v>
      </c>
      <c r="F8" s="8">
        <v>0.03</v>
      </c>
      <c r="G8" s="12">
        <v>12</v>
      </c>
      <c r="H8" s="8">
        <v>0.34</v>
      </c>
      <c r="I8" s="12">
        <v>0</v>
      </c>
    </row>
    <row r="9" spans="2:9" ht="15" customHeight="1" x14ac:dyDescent="0.2">
      <c r="B9" t="s">
        <v>75</v>
      </c>
      <c r="C9" s="12">
        <v>52</v>
      </c>
      <c r="D9" s="8">
        <v>0.77</v>
      </c>
      <c r="E9" s="12">
        <v>3</v>
      </c>
      <c r="F9" s="8">
        <v>0.09</v>
      </c>
      <c r="G9" s="12">
        <v>48</v>
      </c>
      <c r="H9" s="8">
        <v>1.37</v>
      </c>
      <c r="I9" s="12">
        <v>1</v>
      </c>
    </row>
    <row r="10" spans="2:9" ht="15" customHeight="1" x14ac:dyDescent="0.2">
      <c r="B10" t="s">
        <v>76</v>
      </c>
      <c r="C10" s="12">
        <v>60</v>
      </c>
      <c r="D10" s="8">
        <v>0.88</v>
      </c>
      <c r="E10" s="12">
        <v>5</v>
      </c>
      <c r="F10" s="8">
        <v>0.15</v>
      </c>
      <c r="G10" s="12">
        <v>53</v>
      </c>
      <c r="H10" s="8">
        <v>1.52</v>
      </c>
      <c r="I10" s="12">
        <v>2</v>
      </c>
    </row>
    <row r="11" spans="2:9" ht="15" customHeight="1" x14ac:dyDescent="0.2">
      <c r="B11" t="s">
        <v>77</v>
      </c>
      <c r="C11" s="12">
        <v>1297</v>
      </c>
      <c r="D11" s="8">
        <v>19.13</v>
      </c>
      <c r="E11" s="12">
        <v>572</v>
      </c>
      <c r="F11" s="8">
        <v>17.62</v>
      </c>
      <c r="G11" s="12">
        <v>725</v>
      </c>
      <c r="H11" s="8">
        <v>20.73</v>
      </c>
      <c r="I11" s="12">
        <v>0</v>
      </c>
    </row>
    <row r="12" spans="2:9" ht="15" customHeight="1" x14ac:dyDescent="0.2">
      <c r="B12" t="s">
        <v>78</v>
      </c>
      <c r="C12" s="12">
        <v>31</v>
      </c>
      <c r="D12" s="8">
        <v>0.46</v>
      </c>
      <c r="E12" s="12">
        <v>4</v>
      </c>
      <c r="F12" s="8">
        <v>0.12</v>
      </c>
      <c r="G12" s="12">
        <v>27</v>
      </c>
      <c r="H12" s="8">
        <v>0.77</v>
      </c>
      <c r="I12" s="12">
        <v>0</v>
      </c>
    </row>
    <row r="13" spans="2:9" ht="15" customHeight="1" x14ac:dyDescent="0.2">
      <c r="B13" t="s">
        <v>79</v>
      </c>
      <c r="C13" s="12">
        <v>637</v>
      </c>
      <c r="D13" s="8">
        <v>9.4</v>
      </c>
      <c r="E13" s="12">
        <v>210</v>
      </c>
      <c r="F13" s="8">
        <v>6.47</v>
      </c>
      <c r="G13" s="12">
        <v>426</v>
      </c>
      <c r="H13" s="8">
        <v>12.18</v>
      </c>
      <c r="I13" s="12">
        <v>1</v>
      </c>
    </row>
    <row r="14" spans="2:9" ht="15" customHeight="1" x14ac:dyDescent="0.2">
      <c r="B14" t="s">
        <v>80</v>
      </c>
      <c r="C14" s="12">
        <v>349</v>
      </c>
      <c r="D14" s="8">
        <v>5.15</v>
      </c>
      <c r="E14" s="12">
        <v>189</v>
      </c>
      <c r="F14" s="8">
        <v>5.82</v>
      </c>
      <c r="G14" s="12">
        <v>157</v>
      </c>
      <c r="H14" s="8">
        <v>4.49</v>
      </c>
      <c r="I14" s="12">
        <v>0</v>
      </c>
    </row>
    <row r="15" spans="2:9" ht="15" customHeight="1" x14ac:dyDescent="0.2">
      <c r="B15" t="s">
        <v>81</v>
      </c>
      <c r="C15" s="12">
        <v>856</v>
      </c>
      <c r="D15" s="8">
        <v>12.63</v>
      </c>
      <c r="E15" s="12">
        <v>656</v>
      </c>
      <c r="F15" s="8">
        <v>20.2</v>
      </c>
      <c r="G15" s="12">
        <v>194</v>
      </c>
      <c r="H15" s="8">
        <v>5.55</v>
      </c>
      <c r="I15" s="12">
        <v>1</v>
      </c>
    </row>
    <row r="16" spans="2:9" ht="15" customHeight="1" x14ac:dyDescent="0.2">
      <c r="B16" t="s">
        <v>82</v>
      </c>
      <c r="C16" s="12">
        <v>901</v>
      </c>
      <c r="D16" s="8">
        <v>13.29</v>
      </c>
      <c r="E16" s="12">
        <v>691</v>
      </c>
      <c r="F16" s="8">
        <v>21.28</v>
      </c>
      <c r="G16" s="12">
        <v>207</v>
      </c>
      <c r="H16" s="8">
        <v>5.92</v>
      </c>
      <c r="I16" s="12">
        <v>0</v>
      </c>
    </row>
    <row r="17" spans="2:9" ht="15" customHeight="1" x14ac:dyDescent="0.2">
      <c r="B17" t="s">
        <v>83</v>
      </c>
      <c r="C17" s="12">
        <v>307</v>
      </c>
      <c r="D17" s="8">
        <v>4.53</v>
      </c>
      <c r="E17" s="12">
        <v>211</v>
      </c>
      <c r="F17" s="8">
        <v>6.5</v>
      </c>
      <c r="G17" s="12">
        <v>89</v>
      </c>
      <c r="H17" s="8">
        <v>2.54</v>
      </c>
      <c r="I17" s="12">
        <v>3</v>
      </c>
    </row>
    <row r="18" spans="2:9" ht="15" customHeight="1" x14ac:dyDescent="0.2">
      <c r="B18" t="s">
        <v>84</v>
      </c>
      <c r="C18" s="12">
        <v>259</v>
      </c>
      <c r="D18" s="8">
        <v>3.82</v>
      </c>
      <c r="E18" s="12">
        <v>183</v>
      </c>
      <c r="F18" s="8">
        <v>5.64</v>
      </c>
      <c r="G18" s="12">
        <v>75</v>
      </c>
      <c r="H18" s="8">
        <v>2.14</v>
      </c>
      <c r="I18" s="12">
        <v>0</v>
      </c>
    </row>
    <row r="19" spans="2:9" ht="15" customHeight="1" x14ac:dyDescent="0.2">
      <c r="B19" t="s">
        <v>85</v>
      </c>
      <c r="C19" s="12">
        <v>251</v>
      </c>
      <c r="D19" s="8">
        <v>3.7</v>
      </c>
      <c r="E19" s="12">
        <v>78</v>
      </c>
      <c r="F19" s="8">
        <v>2.4</v>
      </c>
      <c r="G19" s="12">
        <v>165</v>
      </c>
      <c r="H19" s="8">
        <v>4.72</v>
      </c>
      <c r="I19" s="12">
        <v>5</v>
      </c>
    </row>
    <row r="20" spans="2:9" ht="15" customHeight="1" x14ac:dyDescent="0.2">
      <c r="B20" s="9" t="s">
        <v>277</v>
      </c>
      <c r="C20" s="12">
        <f>SUM(LTBL_23211[総数／事業所数])</f>
        <v>6780</v>
      </c>
      <c r="E20" s="12">
        <f>SUBTOTAL(109,LTBL_23211[個人／事業所数])</f>
        <v>3247</v>
      </c>
      <c r="G20" s="12">
        <f>SUBTOTAL(109,LTBL_23211[法人／事業所数])</f>
        <v>3498</v>
      </c>
      <c r="I20" s="12">
        <f>SUBTOTAL(109,LTBL_23211[法人以外の団体／事業所数])</f>
        <v>14</v>
      </c>
    </row>
    <row r="21" spans="2:9" ht="15" customHeight="1" x14ac:dyDescent="0.2">
      <c r="E21" s="11">
        <f>LTBL_23211[[#Totals],[個人／事業所数]]/LTBL_23211[[#Totals],[総数／事業所数]]</f>
        <v>0.47890855457227138</v>
      </c>
      <c r="G21" s="11">
        <f>LTBL_23211[[#Totals],[法人／事業所数]]/LTBL_23211[[#Totals],[総数／事業所数]]</f>
        <v>0.51592920353982297</v>
      </c>
      <c r="I21" s="11">
        <f>LTBL_23211[[#Totals],[法人以外の団体／事業所数]]/LTBL_23211[[#Totals],[総数／事業所数]]</f>
        <v>2.0648967551622419E-3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779</v>
      </c>
      <c r="D24" s="8">
        <v>11.49</v>
      </c>
      <c r="E24" s="12">
        <v>645</v>
      </c>
      <c r="F24" s="8">
        <v>19.86</v>
      </c>
      <c r="G24" s="12">
        <v>134</v>
      </c>
      <c r="H24" s="8">
        <v>3.83</v>
      </c>
      <c r="I24" s="12">
        <v>0</v>
      </c>
    </row>
    <row r="25" spans="2:9" ht="15" customHeight="1" x14ac:dyDescent="0.2">
      <c r="B25" t="s">
        <v>110</v>
      </c>
      <c r="C25" s="12">
        <v>750</v>
      </c>
      <c r="D25" s="8">
        <v>11.06</v>
      </c>
      <c r="E25" s="12">
        <v>623</v>
      </c>
      <c r="F25" s="8">
        <v>19.190000000000001</v>
      </c>
      <c r="G25" s="12">
        <v>126</v>
      </c>
      <c r="H25" s="8">
        <v>3.6</v>
      </c>
      <c r="I25" s="12">
        <v>1</v>
      </c>
    </row>
    <row r="26" spans="2:9" ht="15" customHeight="1" x14ac:dyDescent="0.2">
      <c r="B26" t="s">
        <v>107</v>
      </c>
      <c r="C26" s="12">
        <v>514</v>
      </c>
      <c r="D26" s="8">
        <v>7.58</v>
      </c>
      <c r="E26" s="12">
        <v>197</v>
      </c>
      <c r="F26" s="8">
        <v>6.07</v>
      </c>
      <c r="G26" s="12">
        <v>317</v>
      </c>
      <c r="H26" s="8">
        <v>9.06</v>
      </c>
      <c r="I26" s="12">
        <v>0</v>
      </c>
    </row>
    <row r="27" spans="2:9" ht="15" customHeight="1" x14ac:dyDescent="0.2">
      <c r="B27" t="s">
        <v>94</v>
      </c>
      <c r="C27" s="12">
        <v>455</v>
      </c>
      <c r="D27" s="8">
        <v>6.71</v>
      </c>
      <c r="E27" s="12">
        <v>106</v>
      </c>
      <c r="F27" s="8">
        <v>3.26</v>
      </c>
      <c r="G27" s="12">
        <v>349</v>
      </c>
      <c r="H27" s="8">
        <v>9.98</v>
      </c>
      <c r="I27" s="12">
        <v>0</v>
      </c>
    </row>
    <row r="28" spans="2:9" ht="15" customHeight="1" x14ac:dyDescent="0.2">
      <c r="B28" t="s">
        <v>105</v>
      </c>
      <c r="C28" s="12">
        <v>381</v>
      </c>
      <c r="D28" s="8">
        <v>5.62</v>
      </c>
      <c r="E28" s="12">
        <v>193</v>
      </c>
      <c r="F28" s="8">
        <v>5.94</v>
      </c>
      <c r="G28" s="12">
        <v>188</v>
      </c>
      <c r="H28" s="8">
        <v>5.37</v>
      </c>
      <c r="I28" s="12">
        <v>0</v>
      </c>
    </row>
    <row r="29" spans="2:9" ht="15" customHeight="1" x14ac:dyDescent="0.2">
      <c r="B29" t="s">
        <v>112</v>
      </c>
      <c r="C29" s="12">
        <v>307</v>
      </c>
      <c r="D29" s="8">
        <v>4.53</v>
      </c>
      <c r="E29" s="12">
        <v>211</v>
      </c>
      <c r="F29" s="8">
        <v>6.5</v>
      </c>
      <c r="G29" s="12">
        <v>89</v>
      </c>
      <c r="H29" s="8">
        <v>2.54</v>
      </c>
      <c r="I29" s="12">
        <v>3</v>
      </c>
    </row>
    <row r="30" spans="2:9" ht="15" customHeight="1" x14ac:dyDescent="0.2">
      <c r="B30" t="s">
        <v>95</v>
      </c>
      <c r="C30" s="12">
        <v>298</v>
      </c>
      <c r="D30" s="8">
        <v>4.4000000000000004</v>
      </c>
      <c r="E30" s="12">
        <v>130</v>
      </c>
      <c r="F30" s="8">
        <v>4</v>
      </c>
      <c r="G30" s="12">
        <v>168</v>
      </c>
      <c r="H30" s="8">
        <v>4.8</v>
      </c>
      <c r="I30" s="12">
        <v>0</v>
      </c>
    </row>
    <row r="31" spans="2:9" ht="15" customHeight="1" x14ac:dyDescent="0.2">
      <c r="B31" t="s">
        <v>96</v>
      </c>
      <c r="C31" s="12">
        <v>284</v>
      </c>
      <c r="D31" s="8">
        <v>4.1900000000000004</v>
      </c>
      <c r="E31" s="12">
        <v>51</v>
      </c>
      <c r="F31" s="8">
        <v>1.57</v>
      </c>
      <c r="G31" s="12">
        <v>233</v>
      </c>
      <c r="H31" s="8">
        <v>6.66</v>
      </c>
      <c r="I31" s="12">
        <v>0</v>
      </c>
    </row>
    <row r="32" spans="2:9" ht="15" customHeight="1" x14ac:dyDescent="0.2">
      <c r="B32" t="s">
        <v>104</v>
      </c>
      <c r="C32" s="12">
        <v>246</v>
      </c>
      <c r="D32" s="8">
        <v>3.63</v>
      </c>
      <c r="E32" s="12">
        <v>123</v>
      </c>
      <c r="F32" s="8">
        <v>3.79</v>
      </c>
      <c r="G32" s="12">
        <v>123</v>
      </c>
      <c r="H32" s="8">
        <v>3.52</v>
      </c>
      <c r="I32" s="12">
        <v>0</v>
      </c>
    </row>
    <row r="33" spans="2:9" ht="15" customHeight="1" x14ac:dyDescent="0.2">
      <c r="B33" t="s">
        <v>103</v>
      </c>
      <c r="C33" s="12">
        <v>233</v>
      </c>
      <c r="D33" s="8">
        <v>3.44</v>
      </c>
      <c r="E33" s="12">
        <v>129</v>
      </c>
      <c r="F33" s="8">
        <v>3.97</v>
      </c>
      <c r="G33" s="12">
        <v>104</v>
      </c>
      <c r="H33" s="8">
        <v>2.97</v>
      </c>
      <c r="I33" s="12">
        <v>0</v>
      </c>
    </row>
    <row r="34" spans="2:9" ht="15" customHeight="1" x14ac:dyDescent="0.2">
      <c r="B34" t="s">
        <v>113</v>
      </c>
      <c r="C34" s="12">
        <v>203</v>
      </c>
      <c r="D34" s="8">
        <v>2.99</v>
      </c>
      <c r="E34" s="12">
        <v>181</v>
      </c>
      <c r="F34" s="8">
        <v>5.57</v>
      </c>
      <c r="G34" s="12">
        <v>22</v>
      </c>
      <c r="H34" s="8">
        <v>0.63</v>
      </c>
      <c r="I34" s="12">
        <v>0</v>
      </c>
    </row>
    <row r="35" spans="2:9" ht="15" customHeight="1" x14ac:dyDescent="0.2">
      <c r="B35" t="s">
        <v>108</v>
      </c>
      <c r="C35" s="12">
        <v>179</v>
      </c>
      <c r="D35" s="8">
        <v>2.64</v>
      </c>
      <c r="E35" s="12">
        <v>117</v>
      </c>
      <c r="F35" s="8">
        <v>3.6</v>
      </c>
      <c r="G35" s="12">
        <v>62</v>
      </c>
      <c r="H35" s="8">
        <v>1.77</v>
      </c>
      <c r="I35" s="12">
        <v>0</v>
      </c>
    </row>
    <row r="36" spans="2:9" ht="15" customHeight="1" x14ac:dyDescent="0.2">
      <c r="B36" t="s">
        <v>109</v>
      </c>
      <c r="C36" s="12">
        <v>162</v>
      </c>
      <c r="D36" s="8">
        <v>2.39</v>
      </c>
      <c r="E36" s="12">
        <v>71</v>
      </c>
      <c r="F36" s="8">
        <v>2.19</v>
      </c>
      <c r="G36" s="12">
        <v>88</v>
      </c>
      <c r="H36" s="8">
        <v>2.52</v>
      </c>
      <c r="I36" s="12">
        <v>0</v>
      </c>
    </row>
    <row r="37" spans="2:9" ht="15" customHeight="1" x14ac:dyDescent="0.2">
      <c r="B37" t="s">
        <v>102</v>
      </c>
      <c r="C37" s="12">
        <v>150</v>
      </c>
      <c r="D37" s="8">
        <v>2.21</v>
      </c>
      <c r="E37" s="12">
        <v>72</v>
      </c>
      <c r="F37" s="8">
        <v>2.2200000000000002</v>
      </c>
      <c r="G37" s="12">
        <v>78</v>
      </c>
      <c r="H37" s="8">
        <v>2.23</v>
      </c>
      <c r="I37" s="12">
        <v>0</v>
      </c>
    </row>
    <row r="38" spans="2:9" ht="15" customHeight="1" x14ac:dyDescent="0.2">
      <c r="B38" t="s">
        <v>98</v>
      </c>
      <c r="C38" s="12">
        <v>128</v>
      </c>
      <c r="D38" s="8">
        <v>1.89</v>
      </c>
      <c r="E38" s="12">
        <v>5</v>
      </c>
      <c r="F38" s="8">
        <v>0.15</v>
      </c>
      <c r="G38" s="12">
        <v>123</v>
      </c>
      <c r="H38" s="8">
        <v>3.52</v>
      </c>
      <c r="I38" s="12">
        <v>0</v>
      </c>
    </row>
    <row r="39" spans="2:9" ht="15" customHeight="1" x14ac:dyDescent="0.2">
      <c r="B39" t="s">
        <v>97</v>
      </c>
      <c r="C39" s="12">
        <v>115</v>
      </c>
      <c r="D39" s="8">
        <v>1.7</v>
      </c>
      <c r="E39" s="12">
        <v>23</v>
      </c>
      <c r="F39" s="8">
        <v>0.71</v>
      </c>
      <c r="G39" s="12">
        <v>92</v>
      </c>
      <c r="H39" s="8">
        <v>2.63</v>
      </c>
      <c r="I39" s="12">
        <v>0</v>
      </c>
    </row>
    <row r="40" spans="2:9" ht="15" customHeight="1" x14ac:dyDescent="0.2">
      <c r="B40" t="s">
        <v>122</v>
      </c>
      <c r="C40" s="12">
        <v>98</v>
      </c>
      <c r="D40" s="8">
        <v>1.45</v>
      </c>
      <c r="E40" s="12">
        <v>65</v>
      </c>
      <c r="F40" s="8">
        <v>2</v>
      </c>
      <c r="G40" s="12">
        <v>33</v>
      </c>
      <c r="H40" s="8">
        <v>0.94</v>
      </c>
      <c r="I40" s="12">
        <v>0</v>
      </c>
    </row>
    <row r="41" spans="2:9" ht="15" customHeight="1" x14ac:dyDescent="0.2">
      <c r="B41" t="s">
        <v>106</v>
      </c>
      <c r="C41" s="12">
        <v>95</v>
      </c>
      <c r="D41" s="8">
        <v>1.4</v>
      </c>
      <c r="E41" s="12">
        <v>9</v>
      </c>
      <c r="F41" s="8">
        <v>0.28000000000000003</v>
      </c>
      <c r="G41" s="12">
        <v>86</v>
      </c>
      <c r="H41" s="8">
        <v>2.46</v>
      </c>
      <c r="I41" s="12">
        <v>0</v>
      </c>
    </row>
    <row r="42" spans="2:9" ht="15" customHeight="1" x14ac:dyDescent="0.2">
      <c r="B42" t="s">
        <v>124</v>
      </c>
      <c r="C42" s="12">
        <v>88</v>
      </c>
      <c r="D42" s="8">
        <v>1.3</v>
      </c>
      <c r="E42" s="12">
        <v>8</v>
      </c>
      <c r="F42" s="8">
        <v>0.25</v>
      </c>
      <c r="G42" s="12">
        <v>80</v>
      </c>
      <c r="H42" s="8">
        <v>2.29</v>
      </c>
      <c r="I42" s="12">
        <v>0</v>
      </c>
    </row>
    <row r="43" spans="2:9" ht="15" customHeight="1" x14ac:dyDescent="0.2">
      <c r="B43" t="s">
        <v>100</v>
      </c>
      <c r="C43" s="12">
        <v>81</v>
      </c>
      <c r="D43" s="8">
        <v>1.19</v>
      </c>
      <c r="E43" s="12">
        <v>3</v>
      </c>
      <c r="F43" s="8">
        <v>0.09</v>
      </c>
      <c r="G43" s="12">
        <v>78</v>
      </c>
      <c r="H43" s="8">
        <v>2.23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335</v>
      </c>
      <c r="D47" s="8">
        <v>4.9400000000000004</v>
      </c>
      <c r="E47" s="12">
        <v>285</v>
      </c>
      <c r="F47" s="8">
        <v>8.7799999999999994</v>
      </c>
      <c r="G47" s="12">
        <v>50</v>
      </c>
      <c r="H47" s="8">
        <v>1.43</v>
      </c>
      <c r="I47" s="12">
        <v>0</v>
      </c>
    </row>
    <row r="48" spans="2:9" ht="15" customHeight="1" x14ac:dyDescent="0.2">
      <c r="B48" t="s">
        <v>161</v>
      </c>
      <c r="C48" s="12">
        <v>330</v>
      </c>
      <c r="D48" s="8">
        <v>4.87</v>
      </c>
      <c r="E48" s="12">
        <v>179</v>
      </c>
      <c r="F48" s="8">
        <v>5.51</v>
      </c>
      <c r="G48" s="12">
        <v>151</v>
      </c>
      <c r="H48" s="8">
        <v>4.32</v>
      </c>
      <c r="I48" s="12">
        <v>0</v>
      </c>
    </row>
    <row r="49" spans="2:9" ht="15" customHeight="1" x14ac:dyDescent="0.2">
      <c r="B49" t="s">
        <v>167</v>
      </c>
      <c r="C49" s="12">
        <v>265</v>
      </c>
      <c r="D49" s="8">
        <v>3.91</v>
      </c>
      <c r="E49" s="12">
        <v>259</v>
      </c>
      <c r="F49" s="8">
        <v>7.98</v>
      </c>
      <c r="G49" s="12">
        <v>6</v>
      </c>
      <c r="H49" s="8">
        <v>0.17</v>
      </c>
      <c r="I49" s="12">
        <v>0</v>
      </c>
    </row>
    <row r="50" spans="2:9" ht="15" customHeight="1" x14ac:dyDescent="0.2">
      <c r="B50" t="s">
        <v>170</v>
      </c>
      <c r="C50" s="12">
        <v>191</v>
      </c>
      <c r="D50" s="8">
        <v>2.82</v>
      </c>
      <c r="E50" s="12">
        <v>145</v>
      </c>
      <c r="F50" s="8">
        <v>4.47</v>
      </c>
      <c r="G50" s="12">
        <v>44</v>
      </c>
      <c r="H50" s="8">
        <v>1.26</v>
      </c>
      <c r="I50" s="12">
        <v>2</v>
      </c>
    </row>
    <row r="51" spans="2:9" ht="15" customHeight="1" x14ac:dyDescent="0.2">
      <c r="B51" t="s">
        <v>163</v>
      </c>
      <c r="C51" s="12">
        <v>184</v>
      </c>
      <c r="D51" s="8">
        <v>2.71</v>
      </c>
      <c r="E51" s="12">
        <v>136</v>
      </c>
      <c r="F51" s="8">
        <v>4.1900000000000004</v>
      </c>
      <c r="G51" s="12">
        <v>48</v>
      </c>
      <c r="H51" s="8">
        <v>1.37</v>
      </c>
      <c r="I51" s="12">
        <v>0</v>
      </c>
    </row>
    <row r="52" spans="2:9" ht="15" customHeight="1" x14ac:dyDescent="0.2">
      <c r="B52" t="s">
        <v>165</v>
      </c>
      <c r="C52" s="12">
        <v>182</v>
      </c>
      <c r="D52" s="8">
        <v>2.68</v>
      </c>
      <c r="E52" s="12">
        <v>165</v>
      </c>
      <c r="F52" s="8">
        <v>5.08</v>
      </c>
      <c r="G52" s="12">
        <v>17</v>
      </c>
      <c r="H52" s="8">
        <v>0.49</v>
      </c>
      <c r="I52" s="12">
        <v>0</v>
      </c>
    </row>
    <row r="53" spans="2:9" ht="15" customHeight="1" x14ac:dyDescent="0.2">
      <c r="B53" t="s">
        <v>171</v>
      </c>
      <c r="C53" s="12">
        <v>155</v>
      </c>
      <c r="D53" s="8">
        <v>2.29</v>
      </c>
      <c r="E53" s="12">
        <v>138</v>
      </c>
      <c r="F53" s="8">
        <v>4.25</v>
      </c>
      <c r="G53" s="12">
        <v>17</v>
      </c>
      <c r="H53" s="8">
        <v>0.49</v>
      </c>
      <c r="I53" s="12">
        <v>0</v>
      </c>
    </row>
    <row r="54" spans="2:9" ht="15" customHeight="1" x14ac:dyDescent="0.2">
      <c r="B54" t="s">
        <v>164</v>
      </c>
      <c r="C54" s="12">
        <v>153</v>
      </c>
      <c r="D54" s="8">
        <v>2.2599999999999998</v>
      </c>
      <c r="E54" s="12">
        <v>134</v>
      </c>
      <c r="F54" s="8">
        <v>4.13</v>
      </c>
      <c r="G54" s="12">
        <v>19</v>
      </c>
      <c r="H54" s="8">
        <v>0.54</v>
      </c>
      <c r="I54" s="12">
        <v>0</v>
      </c>
    </row>
    <row r="55" spans="2:9" ht="15" customHeight="1" x14ac:dyDescent="0.2">
      <c r="B55" t="s">
        <v>156</v>
      </c>
      <c r="C55" s="12">
        <v>151</v>
      </c>
      <c r="D55" s="8">
        <v>2.23</v>
      </c>
      <c r="E55" s="12">
        <v>70</v>
      </c>
      <c r="F55" s="8">
        <v>2.16</v>
      </c>
      <c r="G55" s="12">
        <v>81</v>
      </c>
      <c r="H55" s="8">
        <v>2.3199999999999998</v>
      </c>
      <c r="I55" s="12">
        <v>0</v>
      </c>
    </row>
    <row r="56" spans="2:9" ht="15" customHeight="1" x14ac:dyDescent="0.2">
      <c r="B56" t="s">
        <v>205</v>
      </c>
      <c r="C56" s="12">
        <v>127</v>
      </c>
      <c r="D56" s="8">
        <v>1.87</v>
      </c>
      <c r="E56" s="12">
        <v>50</v>
      </c>
      <c r="F56" s="8">
        <v>1.54</v>
      </c>
      <c r="G56" s="12">
        <v>77</v>
      </c>
      <c r="H56" s="8">
        <v>2.2000000000000002</v>
      </c>
      <c r="I56" s="12">
        <v>0</v>
      </c>
    </row>
    <row r="57" spans="2:9" ht="15" customHeight="1" x14ac:dyDescent="0.2">
      <c r="B57" t="s">
        <v>154</v>
      </c>
      <c r="C57" s="12">
        <v>122</v>
      </c>
      <c r="D57" s="8">
        <v>1.8</v>
      </c>
      <c r="E57" s="12">
        <v>30</v>
      </c>
      <c r="F57" s="8">
        <v>0.92</v>
      </c>
      <c r="G57" s="12">
        <v>92</v>
      </c>
      <c r="H57" s="8">
        <v>2.63</v>
      </c>
      <c r="I57" s="12">
        <v>0</v>
      </c>
    </row>
    <row r="58" spans="2:9" ht="15" customHeight="1" x14ac:dyDescent="0.2">
      <c r="B58" t="s">
        <v>153</v>
      </c>
      <c r="C58" s="12">
        <v>121</v>
      </c>
      <c r="D58" s="8">
        <v>1.78</v>
      </c>
      <c r="E58" s="12">
        <v>18</v>
      </c>
      <c r="F58" s="8">
        <v>0.55000000000000004</v>
      </c>
      <c r="G58" s="12">
        <v>103</v>
      </c>
      <c r="H58" s="8">
        <v>2.94</v>
      </c>
      <c r="I58" s="12">
        <v>0</v>
      </c>
    </row>
    <row r="59" spans="2:9" ht="15" customHeight="1" x14ac:dyDescent="0.2">
      <c r="B59" t="s">
        <v>152</v>
      </c>
      <c r="C59" s="12">
        <v>116</v>
      </c>
      <c r="D59" s="8">
        <v>1.71</v>
      </c>
      <c r="E59" s="12">
        <v>26</v>
      </c>
      <c r="F59" s="8">
        <v>0.8</v>
      </c>
      <c r="G59" s="12">
        <v>90</v>
      </c>
      <c r="H59" s="8">
        <v>2.57</v>
      </c>
      <c r="I59" s="12">
        <v>0</v>
      </c>
    </row>
    <row r="60" spans="2:9" ht="15" customHeight="1" x14ac:dyDescent="0.2">
      <c r="B60" t="s">
        <v>155</v>
      </c>
      <c r="C60" s="12">
        <v>113</v>
      </c>
      <c r="D60" s="8">
        <v>1.67</v>
      </c>
      <c r="E60" s="12">
        <v>20</v>
      </c>
      <c r="F60" s="8">
        <v>0.62</v>
      </c>
      <c r="G60" s="12">
        <v>93</v>
      </c>
      <c r="H60" s="8">
        <v>2.66</v>
      </c>
      <c r="I60" s="12">
        <v>0</v>
      </c>
    </row>
    <row r="61" spans="2:9" ht="15" customHeight="1" x14ac:dyDescent="0.2">
      <c r="B61" t="s">
        <v>160</v>
      </c>
      <c r="C61" s="12">
        <v>110</v>
      </c>
      <c r="D61" s="8">
        <v>1.62</v>
      </c>
      <c r="E61" s="12">
        <v>11</v>
      </c>
      <c r="F61" s="8">
        <v>0.34</v>
      </c>
      <c r="G61" s="12">
        <v>99</v>
      </c>
      <c r="H61" s="8">
        <v>2.83</v>
      </c>
      <c r="I61" s="12">
        <v>0</v>
      </c>
    </row>
    <row r="62" spans="2:9" ht="15" customHeight="1" x14ac:dyDescent="0.2">
      <c r="B62" t="s">
        <v>186</v>
      </c>
      <c r="C62" s="12">
        <v>102</v>
      </c>
      <c r="D62" s="8">
        <v>1.5</v>
      </c>
      <c r="E62" s="12">
        <v>38</v>
      </c>
      <c r="F62" s="8">
        <v>1.17</v>
      </c>
      <c r="G62" s="12">
        <v>64</v>
      </c>
      <c r="H62" s="8">
        <v>1.83</v>
      </c>
      <c r="I62" s="12">
        <v>0</v>
      </c>
    </row>
    <row r="63" spans="2:9" ht="15" customHeight="1" x14ac:dyDescent="0.2">
      <c r="B63" t="s">
        <v>157</v>
      </c>
      <c r="C63" s="12">
        <v>100</v>
      </c>
      <c r="D63" s="8">
        <v>1.47</v>
      </c>
      <c r="E63" s="12">
        <v>46</v>
      </c>
      <c r="F63" s="8">
        <v>1.42</v>
      </c>
      <c r="G63" s="12">
        <v>54</v>
      </c>
      <c r="H63" s="8">
        <v>1.54</v>
      </c>
      <c r="I63" s="12">
        <v>0</v>
      </c>
    </row>
    <row r="64" spans="2:9" ht="15" customHeight="1" x14ac:dyDescent="0.2">
      <c r="B64" t="s">
        <v>158</v>
      </c>
      <c r="C64" s="12">
        <v>100</v>
      </c>
      <c r="D64" s="8">
        <v>1.47</v>
      </c>
      <c r="E64" s="12">
        <v>64</v>
      </c>
      <c r="F64" s="8">
        <v>1.97</v>
      </c>
      <c r="G64" s="12">
        <v>36</v>
      </c>
      <c r="H64" s="8">
        <v>1.03</v>
      </c>
      <c r="I64" s="12">
        <v>0</v>
      </c>
    </row>
    <row r="65" spans="2:9" ht="15" customHeight="1" x14ac:dyDescent="0.2">
      <c r="B65" t="s">
        <v>166</v>
      </c>
      <c r="C65" s="12">
        <v>100</v>
      </c>
      <c r="D65" s="8">
        <v>1.47</v>
      </c>
      <c r="E65" s="12">
        <v>55</v>
      </c>
      <c r="F65" s="8">
        <v>1.69</v>
      </c>
      <c r="G65" s="12">
        <v>45</v>
      </c>
      <c r="H65" s="8">
        <v>1.29</v>
      </c>
      <c r="I65" s="12">
        <v>0</v>
      </c>
    </row>
    <row r="66" spans="2:9" ht="15" customHeight="1" x14ac:dyDescent="0.2">
      <c r="B66" t="s">
        <v>169</v>
      </c>
      <c r="C66" s="12">
        <v>98</v>
      </c>
      <c r="D66" s="8">
        <v>1.45</v>
      </c>
      <c r="E66" s="12">
        <v>62</v>
      </c>
      <c r="F66" s="8">
        <v>1.91</v>
      </c>
      <c r="G66" s="12">
        <v>35</v>
      </c>
      <c r="H66" s="8">
        <v>1</v>
      </c>
      <c r="I66" s="12">
        <v>1</v>
      </c>
    </row>
    <row r="67" spans="2:9" ht="15" customHeight="1" x14ac:dyDescent="0.2">
      <c r="B67" t="s">
        <v>188</v>
      </c>
      <c r="C67" s="12">
        <v>98</v>
      </c>
      <c r="D67" s="8">
        <v>1.45</v>
      </c>
      <c r="E67" s="12">
        <v>65</v>
      </c>
      <c r="F67" s="8">
        <v>2</v>
      </c>
      <c r="G67" s="12">
        <v>33</v>
      </c>
      <c r="H67" s="8">
        <v>0.94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3D15-C70A-4F2C-B2CB-04958360EB2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309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3</v>
      </c>
      <c r="D5" s="8">
        <v>0.09</v>
      </c>
      <c r="E5" s="12">
        <v>0</v>
      </c>
      <c r="F5" s="8">
        <v>0</v>
      </c>
      <c r="G5" s="12">
        <v>3</v>
      </c>
      <c r="H5" s="8">
        <v>0.18</v>
      </c>
      <c r="I5" s="12">
        <v>0</v>
      </c>
    </row>
    <row r="6" spans="2:9" ht="15" customHeight="1" x14ac:dyDescent="0.2">
      <c r="B6" t="s">
        <v>72</v>
      </c>
      <c r="C6" s="12">
        <v>421</v>
      </c>
      <c r="D6" s="8">
        <v>12.25</v>
      </c>
      <c r="E6" s="12">
        <v>146</v>
      </c>
      <c r="F6" s="8">
        <v>8.11</v>
      </c>
      <c r="G6" s="12">
        <v>275</v>
      </c>
      <c r="H6" s="8">
        <v>16.89</v>
      </c>
      <c r="I6" s="12">
        <v>0</v>
      </c>
    </row>
    <row r="7" spans="2:9" ht="15" customHeight="1" x14ac:dyDescent="0.2">
      <c r="B7" t="s">
        <v>73</v>
      </c>
      <c r="C7" s="12">
        <v>444</v>
      </c>
      <c r="D7" s="8">
        <v>12.91</v>
      </c>
      <c r="E7" s="12">
        <v>134</v>
      </c>
      <c r="F7" s="8">
        <v>7.44</v>
      </c>
      <c r="G7" s="12">
        <v>310</v>
      </c>
      <c r="H7" s="8">
        <v>19.04</v>
      </c>
      <c r="I7" s="12">
        <v>0</v>
      </c>
    </row>
    <row r="8" spans="2:9" ht="15" customHeight="1" x14ac:dyDescent="0.2">
      <c r="B8" t="s">
        <v>74</v>
      </c>
      <c r="C8" s="12">
        <v>4</v>
      </c>
      <c r="D8" s="8">
        <v>0.12</v>
      </c>
      <c r="E8" s="12">
        <v>0</v>
      </c>
      <c r="F8" s="8">
        <v>0</v>
      </c>
      <c r="G8" s="12">
        <v>4</v>
      </c>
      <c r="H8" s="8">
        <v>0.25</v>
      </c>
      <c r="I8" s="12">
        <v>0</v>
      </c>
    </row>
    <row r="9" spans="2:9" ht="15" customHeight="1" x14ac:dyDescent="0.2">
      <c r="B9" t="s">
        <v>75</v>
      </c>
      <c r="C9" s="12">
        <v>19</v>
      </c>
      <c r="D9" s="8">
        <v>0.55000000000000004</v>
      </c>
      <c r="E9" s="12">
        <v>0</v>
      </c>
      <c r="F9" s="8">
        <v>0</v>
      </c>
      <c r="G9" s="12">
        <v>19</v>
      </c>
      <c r="H9" s="8">
        <v>1.17</v>
      </c>
      <c r="I9" s="12">
        <v>0</v>
      </c>
    </row>
    <row r="10" spans="2:9" ht="15" customHeight="1" x14ac:dyDescent="0.2">
      <c r="B10" t="s">
        <v>76</v>
      </c>
      <c r="C10" s="12">
        <v>36</v>
      </c>
      <c r="D10" s="8">
        <v>1.05</v>
      </c>
      <c r="E10" s="12">
        <v>5</v>
      </c>
      <c r="F10" s="8">
        <v>0.28000000000000003</v>
      </c>
      <c r="G10" s="12">
        <v>31</v>
      </c>
      <c r="H10" s="8">
        <v>1.9</v>
      </c>
      <c r="I10" s="12">
        <v>0</v>
      </c>
    </row>
    <row r="11" spans="2:9" ht="15" customHeight="1" x14ac:dyDescent="0.2">
      <c r="B11" t="s">
        <v>77</v>
      </c>
      <c r="C11" s="12">
        <v>687</v>
      </c>
      <c r="D11" s="8">
        <v>19.98</v>
      </c>
      <c r="E11" s="12">
        <v>325</v>
      </c>
      <c r="F11" s="8">
        <v>18.05</v>
      </c>
      <c r="G11" s="12">
        <v>362</v>
      </c>
      <c r="H11" s="8">
        <v>22.24</v>
      </c>
      <c r="I11" s="12">
        <v>0</v>
      </c>
    </row>
    <row r="12" spans="2:9" ht="15" customHeight="1" x14ac:dyDescent="0.2">
      <c r="B12" t="s">
        <v>78</v>
      </c>
      <c r="C12" s="12">
        <v>10</v>
      </c>
      <c r="D12" s="8">
        <v>0.28999999999999998</v>
      </c>
      <c r="E12" s="12">
        <v>0</v>
      </c>
      <c r="F12" s="8">
        <v>0</v>
      </c>
      <c r="G12" s="12">
        <v>10</v>
      </c>
      <c r="H12" s="8">
        <v>0.61</v>
      </c>
      <c r="I12" s="12">
        <v>0</v>
      </c>
    </row>
    <row r="13" spans="2:9" ht="15" customHeight="1" x14ac:dyDescent="0.2">
      <c r="B13" t="s">
        <v>79</v>
      </c>
      <c r="C13" s="12">
        <v>436</v>
      </c>
      <c r="D13" s="8">
        <v>12.68</v>
      </c>
      <c r="E13" s="12">
        <v>215</v>
      </c>
      <c r="F13" s="8">
        <v>11.94</v>
      </c>
      <c r="G13" s="12">
        <v>221</v>
      </c>
      <c r="H13" s="8">
        <v>13.57</v>
      </c>
      <c r="I13" s="12">
        <v>0</v>
      </c>
    </row>
    <row r="14" spans="2:9" ht="15" customHeight="1" x14ac:dyDescent="0.2">
      <c r="B14" t="s">
        <v>80</v>
      </c>
      <c r="C14" s="12">
        <v>153</v>
      </c>
      <c r="D14" s="8">
        <v>4.45</v>
      </c>
      <c r="E14" s="12">
        <v>83</v>
      </c>
      <c r="F14" s="8">
        <v>4.6100000000000003</v>
      </c>
      <c r="G14" s="12">
        <v>69</v>
      </c>
      <c r="H14" s="8">
        <v>4.24</v>
      </c>
      <c r="I14" s="12">
        <v>0</v>
      </c>
    </row>
    <row r="15" spans="2:9" ht="15" customHeight="1" x14ac:dyDescent="0.2">
      <c r="B15" t="s">
        <v>81</v>
      </c>
      <c r="C15" s="12">
        <v>351</v>
      </c>
      <c r="D15" s="8">
        <v>10.210000000000001</v>
      </c>
      <c r="E15" s="12">
        <v>288</v>
      </c>
      <c r="F15" s="8">
        <v>15.99</v>
      </c>
      <c r="G15" s="12">
        <v>62</v>
      </c>
      <c r="H15" s="8">
        <v>3.81</v>
      </c>
      <c r="I15" s="12">
        <v>0</v>
      </c>
    </row>
    <row r="16" spans="2:9" ht="15" customHeight="1" x14ac:dyDescent="0.2">
      <c r="B16" t="s">
        <v>82</v>
      </c>
      <c r="C16" s="12">
        <v>415</v>
      </c>
      <c r="D16" s="8">
        <v>12.07</v>
      </c>
      <c r="E16" s="12">
        <v>309</v>
      </c>
      <c r="F16" s="8">
        <v>17.16</v>
      </c>
      <c r="G16" s="12">
        <v>105</v>
      </c>
      <c r="H16" s="8">
        <v>6.45</v>
      </c>
      <c r="I16" s="12">
        <v>1</v>
      </c>
    </row>
    <row r="17" spans="2:9" ht="15" customHeight="1" x14ac:dyDescent="0.2">
      <c r="B17" t="s">
        <v>83</v>
      </c>
      <c r="C17" s="12">
        <v>199</v>
      </c>
      <c r="D17" s="8">
        <v>5.79</v>
      </c>
      <c r="E17" s="12">
        <v>156</v>
      </c>
      <c r="F17" s="8">
        <v>8.66</v>
      </c>
      <c r="G17" s="12">
        <v>42</v>
      </c>
      <c r="H17" s="8">
        <v>2.58</v>
      </c>
      <c r="I17" s="12">
        <v>0</v>
      </c>
    </row>
    <row r="18" spans="2:9" ht="15" customHeight="1" x14ac:dyDescent="0.2">
      <c r="B18" t="s">
        <v>84</v>
      </c>
      <c r="C18" s="12">
        <v>144</v>
      </c>
      <c r="D18" s="8">
        <v>4.1900000000000004</v>
      </c>
      <c r="E18" s="12">
        <v>99</v>
      </c>
      <c r="F18" s="8">
        <v>5.5</v>
      </c>
      <c r="G18" s="12">
        <v>43</v>
      </c>
      <c r="H18" s="8">
        <v>2.64</v>
      </c>
      <c r="I18" s="12">
        <v>0</v>
      </c>
    </row>
    <row r="19" spans="2:9" ht="15" customHeight="1" x14ac:dyDescent="0.2">
      <c r="B19" t="s">
        <v>85</v>
      </c>
      <c r="C19" s="12">
        <v>116</v>
      </c>
      <c r="D19" s="8">
        <v>3.37</v>
      </c>
      <c r="E19" s="12">
        <v>41</v>
      </c>
      <c r="F19" s="8">
        <v>2.2799999999999998</v>
      </c>
      <c r="G19" s="12">
        <v>72</v>
      </c>
      <c r="H19" s="8">
        <v>4.42</v>
      </c>
      <c r="I19" s="12">
        <v>1</v>
      </c>
    </row>
    <row r="20" spans="2:9" ht="15" customHeight="1" x14ac:dyDescent="0.2">
      <c r="B20" s="9" t="s">
        <v>277</v>
      </c>
      <c r="C20" s="12">
        <f>SUM(LTBL_23212[総数／事業所数])</f>
        <v>3438</v>
      </c>
      <c r="E20" s="12">
        <f>SUBTOTAL(109,LTBL_23212[個人／事業所数])</f>
        <v>1801</v>
      </c>
      <c r="G20" s="12">
        <f>SUBTOTAL(109,LTBL_23212[法人／事業所数])</f>
        <v>1628</v>
      </c>
      <c r="I20" s="12">
        <f>SUBTOTAL(109,LTBL_23212[法人以外の団体／事業所数])</f>
        <v>2</v>
      </c>
    </row>
    <row r="21" spans="2:9" ht="15" customHeight="1" x14ac:dyDescent="0.2">
      <c r="E21" s="11">
        <f>LTBL_23212[[#Totals],[個人／事業所数]]/LTBL_23212[[#Totals],[総数／事業所数]]</f>
        <v>0.52385107620709714</v>
      </c>
      <c r="G21" s="11">
        <f>LTBL_23212[[#Totals],[法人／事業所数]]/LTBL_23212[[#Totals],[総数／事業所数]]</f>
        <v>0.47353112274578241</v>
      </c>
      <c r="I21" s="11">
        <f>LTBL_23212[[#Totals],[法人以外の団体／事業所数]]/LTBL_23212[[#Totals],[総数／事業所数]]</f>
        <v>5.8173356602675972E-4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367</v>
      </c>
      <c r="D24" s="8">
        <v>10.67</v>
      </c>
      <c r="E24" s="12">
        <v>202</v>
      </c>
      <c r="F24" s="8">
        <v>11.22</v>
      </c>
      <c r="G24" s="12">
        <v>165</v>
      </c>
      <c r="H24" s="8">
        <v>10.14</v>
      </c>
      <c r="I24" s="12">
        <v>0</v>
      </c>
    </row>
    <row r="25" spans="2:9" ht="15" customHeight="1" x14ac:dyDescent="0.2">
      <c r="B25" t="s">
        <v>111</v>
      </c>
      <c r="C25" s="12">
        <v>359</v>
      </c>
      <c r="D25" s="8">
        <v>10.44</v>
      </c>
      <c r="E25" s="12">
        <v>288</v>
      </c>
      <c r="F25" s="8">
        <v>15.99</v>
      </c>
      <c r="G25" s="12">
        <v>71</v>
      </c>
      <c r="H25" s="8">
        <v>4.3600000000000003</v>
      </c>
      <c r="I25" s="12">
        <v>0</v>
      </c>
    </row>
    <row r="26" spans="2:9" ht="15" customHeight="1" x14ac:dyDescent="0.2">
      <c r="B26" t="s">
        <v>110</v>
      </c>
      <c r="C26" s="12">
        <v>325</v>
      </c>
      <c r="D26" s="8">
        <v>9.4499999999999993</v>
      </c>
      <c r="E26" s="12">
        <v>278</v>
      </c>
      <c r="F26" s="8">
        <v>15.44</v>
      </c>
      <c r="G26" s="12">
        <v>47</v>
      </c>
      <c r="H26" s="8">
        <v>2.89</v>
      </c>
      <c r="I26" s="12">
        <v>0</v>
      </c>
    </row>
    <row r="27" spans="2:9" ht="15" customHeight="1" x14ac:dyDescent="0.2">
      <c r="B27" t="s">
        <v>112</v>
      </c>
      <c r="C27" s="12">
        <v>199</v>
      </c>
      <c r="D27" s="8">
        <v>5.79</v>
      </c>
      <c r="E27" s="12">
        <v>156</v>
      </c>
      <c r="F27" s="8">
        <v>8.66</v>
      </c>
      <c r="G27" s="12">
        <v>42</v>
      </c>
      <c r="H27" s="8">
        <v>2.58</v>
      </c>
      <c r="I27" s="12">
        <v>0</v>
      </c>
    </row>
    <row r="28" spans="2:9" ht="15" customHeight="1" x14ac:dyDescent="0.2">
      <c r="B28" t="s">
        <v>105</v>
      </c>
      <c r="C28" s="12">
        <v>194</v>
      </c>
      <c r="D28" s="8">
        <v>5.64</v>
      </c>
      <c r="E28" s="12">
        <v>118</v>
      </c>
      <c r="F28" s="8">
        <v>6.55</v>
      </c>
      <c r="G28" s="12">
        <v>76</v>
      </c>
      <c r="H28" s="8">
        <v>4.67</v>
      </c>
      <c r="I28" s="12">
        <v>0</v>
      </c>
    </row>
    <row r="29" spans="2:9" ht="15" customHeight="1" x14ac:dyDescent="0.2">
      <c r="B29" t="s">
        <v>94</v>
      </c>
      <c r="C29" s="12">
        <v>169</v>
      </c>
      <c r="D29" s="8">
        <v>4.92</v>
      </c>
      <c r="E29" s="12">
        <v>47</v>
      </c>
      <c r="F29" s="8">
        <v>2.61</v>
      </c>
      <c r="G29" s="12">
        <v>122</v>
      </c>
      <c r="H29" s="8">
        <v>7.49</v>
      </c>
      <c r="I29" s="12">
        <v>0</v>
      </c>
    </row>
    <row r="30" spans="2:9" ht="15" customHeight="1" x14ac:dyDescent="0.2">
      <c r="B30" t="s">
        <v>95</v>
      </c>
      <c r="C30" s="12">
        <v>150</v>
      </c>
      <c r="D30" s="8">
        <v>4.3600000000000003</v>
      </c>
      <c r="E30" s="12">
        <v>74</v>
      </c>
      <c r="F30" s="8">
        <v>4.1100000000000003</v>
      </c>
      <c r="G30" s="12">
        <v>76</v>
      </c>
      <c r="H30" s="8">
        <v>4.67</v>
      </c>
      <c r="I30" s="12">
        <v>0</v>
      </c>
    </row>
    <row r="31" spans="2:9" ht="15" customHeight="1" x14ac:dyDescent="0.2">
      <c r="B31" t="s">
        <v>104</v>
      </c>
      <c r="C31" s="12">
        <v>135</v>
      </c>
      <c r="D31" s="8">
        <v>3.93</v>
      </c>
      <c r="E31" s="12">
        <v>58</v>
      </c>
      <c r="F31" s="8">
        <v>3.22</v>
      </c>
      <c r="G31" s="12">
        <v>77</v>
      </c>
      <c r="H31" s="8">
        <v>4.7300000000000004</v>
      </c>
      <c r="I31" s="12">
        <v>0</v>
      </c>
    </row>
    <row r="32" spans="2:9" ht="15" customHeight="1" x14ac:dyDescent="0.2">
      <c r="B32" t="s">
        <v>113</v>
      </c>
      <c r="C32" s="12">
        <v>112</v>
      </c>
      <c r="D32" s="8">
        <v>3.26</v>
      </c>
      <c r="E32" s="12">
        <v>99</v>
      </c>
      <c r="F32" s="8">
        <v>5.5</v>
      </c>
      <c r="G32" s="12">
        <v>13</v>
      </c>
      <c r="H32" s="8">
        <v>0.8</v>
      </c>
      <c r="I32" s="12">
        <v>0</v>
      </c>
    </row>
    <row r="33" spans="2:9" ht="15" customHeight="1" x14ac:dyDescent="0.2">
      <c r="B33" t="s">
        <v>96</v>
      </c>
      <c r="C33" s="12">
        <v>102</v>
      </c>
      <c r="D33" s="8">
        <v>2.97</v>
      </c>
      <c r="E33" s="12">
        <v>25</v>
      </c>
      <c r="F33" s="8">
        <v>1.39</v>
      </c>
      <c r="G33" s="12">
        <v>77</v>
      </c>
      <c r="H33" s="8">
        <v>4.7300000000000004</v>
      </c>
      <c r="I33" s="12">
        <v>0</v>
      </c>
    </row>
    <row r="34" spans="2:9" ht="15" customHeight="1" x14ac:dyDescent="0.2">
      <c r="B34" t="s">
        <v>103</v>
      </c>
      <c r="C34" s="12">
        <v>102</v>
      </c>
      <c r="D34" s="8">
        <v>2.97</v>
      </c>
      <c r="E34" s="12">
        <v>71</v>
      </c>
      <c r="F34" s="8">
        <v>3.94</v>
      </c>
      <c r="G34" s="12">
        <v>31</v>
      </c>
      <c r="H34" s="8">
        <v>1.9</v>
      </c>
      <c r="I34" s="12">
        <v>0</v>
      </c>
    </row>
    <row r="35" spans="2:9" ht="15" customHeight="1" x14ac:dyDescent="0.2">
      <c r="B35" t="s">
        <v>98</v>
      </c>
      <c r="C35" s="12">
        <v>100</v>
      </c>
      <c r="D35" s="8">
        <v>2.91</v>
      </c>
      <c r="E35" s="12">
        <v>22</v>
      </c>
      <c r="F35" s="8">
        <v>1.22</v>
      </c>
      <c r="G35" s="12">
        <v>78</v>
      </c>
      <c r="H35" s="8">
        <v>4.79</v>
      </c>
      <c r="I35" s="12">
        <v>0</v>
      </c>
    </row>
    <row r="36" spans="2:9" ht="15" customHeight="1" x14ac:dyDescent="0.2">
      <c r="B36" t="s">
        <v>108</v>
      </c>
      <c r="C36" s="12">
        <v>89</v>
      </c>
      <c r="D36" s="8">
        <v>2.59</v>
      </c>
      <c r="E36" s="12">
        <v>58</v>
      </c>
      <c r="F36" s="8">
        <v>3.22</v>
      </c>
      <c r="G36" s="12">
        <v>31</v>
      </c>
      <c r="H36" s="8">
        <v>1.9</v>
      </c>
      <c r="I36" s="12">
        <v>0</v>
      </c>
    </row>
    <row r="37" spans="2:9" ht="15" customHeight="1" x14ac:dyDescent="0.2">
      <c r="B37" t="s">
        <v>102</v>
      </c>
      <c r="C37" s="12">
        <v>77</v>
      </c>
      <c r="D37" s="8">
        <v>2.2400000000000002</v>
      </c>
      <c r="E37" s="12">
        <v>47</v>
      </c>
      <c r="F37" s="8">
        <v>2.61</v>
      </c>
      <c r="G37" s="12">
        <v>30</v>
      </c>
      <c r="H37" s="8">
        <v>1.84</v>
      </c>
      <c r="I37" s="12">
        <v>0</v>
      </c>
    </row>
    <row r="38" spans="2:9" ht="15" customHeight="1" x14ac:dyDescent="0.2">
      <c r="B38" t="s">
        <v>97</v>
      </c>
      <c r="C38" s="12">
        <v>65</v>
      </c>
      <c r="D38" s="8">
        <v>1.89</v>
      </c>
      <c r="E38" s="12">
        <v>20</v>
      </c>
      <c r="F38" s="8">
        <v>1.1100000000000001</v>
      </c>
      <c r="G38" s="12">
        <v>45</v>
      </c>
      <c r="H38" s="8">
        <v>2.76</v>
      </c>
      <c r="I38" s="12">
        <v>0</v>
      </c>
    </row>
    <row r="39" spans="2:9" ht="15" customHeight="1" x14ac:dyDescent="0.2">
      <c r="B39" t="s">
        <v>100</v>
      </c>
      <c r="C39" s="12">
        <v>65</v>
      </c>
      <c r="D39" s="8">
        <v>1.89</v>
      </c>
      <c r="E39" s="12">
        <v>6</v>
      </c>
      <c r="F39" s="8">
        <v>0.33</v>
      </c>
      <c r="G39" s="12">
        <v>59</v>
      </c>
      <c r="H39" s="8">
        <v>3.62</v>
      </c>
      <c r="I39" s="12">
        <v>0</v>
      </c>
    </row>
    <row r="40" spans="2:9" ht="15" customHeight="1" x14ac:dyDescent="0.2">
      <c r="B40" t="s">
        <v>109</v>
      </c>
      <c r="C40" s="12">
        <v>64</v>
      </c>
      <c r="D40" s="8">
        <v>1.86</v>
      </c>
      <c r="E40" s="12">
        <v>25</v>
      </c>
      <c r="F40" s="8">
        <v>1.39</v>
      </c>
      <c r="G40" s="12">
        <v>38</v>
      </c>
      <c r="H40" s="8">
        <v>2.33</v>
      </c>
      <c r="I40" s="12">
        <v>0</v>
      </c>
    </row>
    <row r="41" spans="2:9" ht="15" customHeight="1" x14ac:dyDescent="0.2">
      <c r="B41" t="s">
        <v>106</v>
      </c>
      <c r="C41" s="12">
        <v>58</v>
      </c>
      <c r="D41" s="8">
        <v>1.69</v>
      </c>
      <c r="E41" s="12">
        <v>11</v>
      </c>
      <c r="F41" s="8">
        <v>0.61</v>
      </c>
      <c r="G41" s="12">
        <v>47</v>
      </c>
      <c r="H41" s="8">
        <v>2.89</v>
      </c>
      <c r="I41" s="12">
        <v>0</v>
      </c>
    </row>
    <row r="42" spans="2:9" ht="15" customHeight="1" x14ac:dyDescent="0.2">
      <c r="B42" t="s">
        <v>124</v>
      </c>
      <c r="C42" s="12">
        <v>53</v>
      </c>
      <c r="D42" s="8">
        <v>1.54</v>
      </c>
      <c r="E42" s="12">
        <v>16</v>
      </c>
      <c r="F42" s="8">
        <v>0.89</v>
      </c>
      <c r="G42" s="12">
        <v>37</v>
      </c>
      <c r="H42" s="8">
        <v>2.27</v>
      </c>
      <c r="I42" s="12">
        <v>0</v>
      </c>
    </row>
    <row r="43" spans="2:9" ht="15" customHeight="1" x14ac:dyDescent="0.2">
      <c r="B43" t="s">
        <v>122</v>
      </c>
      <c r="C43" s="12">
        <v>47</v>
      </c>
      <c r="D43" s="8">
        <v>1.37</v>
      </c>
      <c r="E43" s="12">
        <v>29</v>
      </c>
      <c r="F43" s="8">
        <v>1.61</v>
      </c>
      <c r="G43" s="12">
        <v>18</v>
      </c>
      <c r="H43" s="8">
        <v>1.1100000000000001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252</v>
      </c>
      <c r="D47" s="8">
        <v>7.33</v>
      </c>
      <c r="E47" s="12">
        <v>174</v>
      </c>
      <c r="F47" s="8">
        <v>9.66</v>
      </c>
      <c r="G47" s="12">
        <v>78</v>
      </c>
      <c r="H47" s="8">
        <v>4.79</v>
      </c>
      <c r="I47" s="12">
        <v>0</v>
      </c>
    </row>
    <row r="48" spans="2:9" ht="15" customHeight="1" x14ac:dyDescent="0.2">
      <c r="B48" t="s">
        <v>168</v>
      </c>
      <c r="C48" s="12">
        <v>182</v>
      </c>
      <c r="D48" s="8">
        <v>5.29</v>
      </c>
      <c r="E48" s="12">
        <v>157</v>
      </c>
      <c r="F48" s="8">
        <v>8.7200000000000006</v>
      </c>
      <c r="G48" s="12">
        <v>25</v>
      </c>
      <c r="H48" s="8">
        <v>1.54</v>
      </c>
      <c r="I48" s="12">
        <v>0</v>
      </c>
    </row>
    <row r="49" spans="2:9" ht="15" customHeight="1" x14ac:dyDescent="0.2">
      <c r="B49" t="s">
        <v>170</v>
      </c>
      <c r="C49" s="12">
        <v>139</v>
      </c>
      <c r="D49" s="8">
        <v>4.04</v>
      </c>
      <c r="E49" s="12">
        <v>115</v>
      </c>
      <c r="F49" s="8">
        <v>6.39</v>
      </c>
      <c r="G49" s="12">
        <v>23</v>
      </c>
      <c r="H49" s="8">
        <v>1.41</v>
      </c>
      <c r="I49" s="12">
        <v>0</v>
      </c>
    </row>
    <row r="50" spans="2:9" ht="15" customHeight="1" x14ac:dyDescent="0.2">
      <c r="B50" t="s">
        <v>164</v>
      </c>
      <c r="C50" s="12">
        <v>91</v>
      </c>
      <c r="D50" s="8">
        <v>2.65</v>
      </c>
      <c r="E50" s="12">
        <v>88</v>
      </c>
      <c r="F50" s="8">
        <v>4.8899999999999997</v>
      </c>
      <c r="G50" s="12">
        <v>3</v>
      </c>
      <c r="H50" s="8">
        <v>0.18</v>
      </c>
      <c r="I50" s="12">
        <v>0</v>
      </c>
    </row>
    <row r="51" spans="2:9" ht="15" customHeight="1" x14ac:dyDescent="0.2">
      <c r="B51" t="s">
        <v>171</v>
      </c>
      <c r="C51" s="12">
        <v>89</v>
      </c>
      <c r="D51" s="8">
        <v>2.59</v>
      </c>
      <c r="E51" s="12">
        <v>81</v>
      </c>
      <c r="F51" s="8">
        <v>4.5</v>
      </c>
      <c r="G51" s="12">
        <v>8</v>
      </c>
      <c r="H51" s="8">
        <v>0.49</v>
      </c>
      <c r="I51" s="12">
        <v>0</v>
      </c>
    </row>
    <row r="52" spans="2:9" ht="15" customHeight="1" x14ac:dyDescent="0.2">
      <c r="B52" t="s">
        <v>156</v>
      </c>
      <c r="C52" s="12">
        <v>83</v>
      </c>
      <c r="D52" s="8">
        <v>2.41</v>
      </c>
      <c r="E52" s="12">
        <v>31</v>
      </c>
      <c r="F52" s="8">
        <v>1.72</v>
      </c>
      <c r="G52" s="12">
        <v>52</v>
      </c>
      <c r="H52" s="8">
        <v>3.19</v>
      </c>
      <c r="I52" s="12">
        <v>0</v>
      </c>
    </row>
    <row r="53" spans="2:9" ht="15" customHeight="1" x14ac:dyDescent="0.2">
      <c r="B53" t="s">
        <v>167</v>
      </c>
      <c r="C53" s="12">
        <v>76</v>
      </c>
      <c r="D53" s="8">
        <v>2.21</v>
      </c>
      <c r="E53" s="12">
        <v>75</v>
      </c>
      <c r="F53" s="8">
        <v>4.16</v>
      </c>
      <c r="G53" s="12">
        <v>1</v>
      </c>
      <c r="H53" s="8">
        <v>0.06</v>
      </c>
      <c r="I53" s="12">
        <v>0</v>
      </c>
    </row>
    <row r="54" spans="2:9" ht="15" customHeight="1" x14ac:dyDescent="0.2">
      <c r="B54" t="s">
        <v>163</v>
      </c>
      <c r="C54" s="12">
        <v>75</v>
      </c>
      <c r="D54" s="8">
        <v>2.1800000000000002</v>
      </c>
      <c r="E54" s="12">
        <v>50</v>
      </c>
      <c r="F54" s="8">
        <v>2.78</v>
      </c>
      <c r="G54" s="12">
        <v>25</v>
      </c>
      <c r="H54" s="8">
        <v>1.54</v>
      </c>
      <c r="I54" s="12">
        <v>0</v>
      </c>
    </row>
    <row r="55" spans="2:9" ht="15" customHeight="1" x14ac:dyDescent="0.2">
      <c r="B55" t="s">
        <v>165</v>
      </c>
      <c r="C55" s="12">
        <v>67</v>
      </c>
      <c r="D55" s="8">
        <v>1.95</v>
      </c>
      <c r="E55" s="12">
        <v>61</v>
      </c>
      <c r="F55" s="8">
        <v>3.39</v>
      </c>
      <c r="G55" s="12">
        <v>6</v>
      </c>
      <c r="H55" s="8">
        <v>0.37</v>
      </c>
      <c r="I55" s="12">
        <v>0</v>
      </c>
    </row>
    <row r="56" spans="2:9" ht="15" customHeight="1" x14ac:dyDescent="0.2">
      <c r="B56" t="s">
        <v>160</v>
      </c>
      <c r="C56" s="12">
        <v>61</v>
      </c>
      <c r="D56" s="8">
        <v>1.77</v>
      </c>
      <c r="E56" s="12">
        <v>12</v>
      </c>
      <c r="F56" s="8">
        <v>0.67</v>
      </c>
      <c r="G56" s="12">
        <v>49</v>
      </c>
      <c r="H56" s="8">
        <v>3.01</v>
      </c>
      <c r="I56" s="12">
        <v>0</v>
      </c>
    </row>
    <row r="57" spans="2:9" ht="15" customHeight="1" x14ac:dyDescent="0.2">
      <c r="B57" t="s">
        <v>205</v>
      </c>
      <c r="C57" s="12">
        <v>60</v>
      </c>
      <c r="D57" s="8">
        <v>1.75</v>
      </c>
      <c r="E57" s="12">
        <v>25</v>
      </c>
      <c r="F57" s="8">
        <v>1.39</v>
      </c>
      <c r="G57" s="12">
        <v>35</v>
      </c>
      <c r="H57" s="8">
        <v>2.15</v>
      </c>
      <c r="I57" s="12">
        <v>0</v>
      </c>
    </row>
    <row r="58" spans="2:9" ht="15" customHeight="1" x14ac:dyDescent="0.2">
      <c r="B58" t="s">
        <v>179</v>
      </c>
      <c r="C58" s="12">
        <v>55</v>
      </c>
      <c r="D58" s="8">
        <v>1.6</v>
      </c>
      <c r="E58" s="12">
        <v>28</v>
      </c>
      <c r="F58" s="8">
        <v>1.55</v>
      </c>
      <c r="G58" s="12">
        <v>27</v>
      </c>
      <c r="H58" s="8">
        <v>1.66</v>
      </c>
      <c r="I58" s="12">
        <v>0</v>
      </c>
    </row>
    <row r="59" spans="2:9" ht="15" customHeight="1" x14ac:dyDescent="0.2">
      <c r="B59" t="s">
        <v>169</v>
      </c>
      <c r="C59" s="12">
        <v>53</v>
      </c>
      <c r="D59" s="8">
        <v>1.54</v>
      </c>
      <c r="E59" s="12">
        <v>41</v>
      </c>
      <c r="F59" s="8">
        <v>2.2799999999999998</v>
      </c>
      <c r="G59" s="12">
        <v>12</v>
      </c>
      <c r="H59" s="8">
        <v>0.74</v>
      </c>
      <c r="I59" s="12">
        <v>0</v>
      </c>
    </row>
    <row r="60" spans="2:9" ht="15" customHeight="1" x14ac:dyDescent="0.2">
      <c r="B60" t="s">
        <v>154</v>
      </c>
      <c r="C60" s="12">
        <v>51</v>
      </c>
      <c r="D60" s="8">
        <v>1.48</v>
      </c>
      <c r="E60" s="12">
        <v>11</v>
      </c>
      <c r="F60" s="8">
        <v>0.61</v>
      </c>
      <c r="G60" s="12">
        <v>40</v>
      </c>
      <c r="H60" s="8">
        <v>2.46</v>
      </c>
      <c r="I60" s="12">
        <v>0</v>
      </c>
    </row>
    <row r="61" spans="2:9" ht="15" customHeight="1" x14ac:dyDescent="0.2">
      <c r="B61" t="s">
        <v>186</v>
      </c>
      <c r="C61" s="12">
        <v>51</v>
      </c>
      <c r="D61" s="8">
        <v>1.48</v>
      </c>
      <c r="E61" s="12">
        <v>32</v>
      </c>
      <c r="F61" s="8">
        <v>1.78</v>
      </c>
      <c r="G61" s="12">
        <v>19</v>
      </c>
      <c r="H61" s="8">
        <v>1.17</v>
      </c>
      <c r="I61" s="12">
        <v>0</v>
      </c>
    </row>
    <row r="62" spans="2:9" ht="15" customHeight="1" x14ac:dyDescent="0.2">
      <c r="B62" t="s">
        <v>158</v>
      </c>
      <c r="C62" s="12">
        <v>51</v>
      </c>
      <c r="D62" s="8">
        <v>1.48</v>
      </c>
      <c r="E62" s="12">
        <v>39</v>
      </c>
      <c r="F62" s="8">
        <v>2.17</v>
      </c>
      <c r="G62" s="12">
        <v>12</v>
      </c>
      <c r="H62" s="8">
        <v>0.74</v>
      </c>
      <c r="I62" s="12">
        <v>0</v>
      </c>
    </row>
    <row r="63" spans="2:9" ht="15" customHeight="1" x14ac:dyDescent="0.2">
      <c r="B63" t="s">
        <v>202</v>
      </c>
      <c r="C63" s="12">
        <v>50</v>
      </c>
      <c r="D63" s="8">
        <v>1.45</v>
      </c>
      <c r="E63" s="12">
        <v>16</v>
      </c>
      <c r="F63" s="8">
        <v>0.89</v>
      </c>
      <c r="G63" s="12">
        <v>34</v>
      </c>
      <c r="H63" s="8">
        <v>2.09</v>
      </c>
      <c r="I63" s="12">
        <v>0</v>
      </c>
    </row>
    <row r="64" spans="2:9" ht="15" customHeight="1" x14ac:dyDescent="0.2">
      <c r="B64" t="s">
        <v>197</v>
      </c>
      <c r="C64" s="12">
        <v>49</v>
      </c>
      <c r="D64" s="8">
        <v>1.43</v>
      </c>
      <c r="E64" s="12">
        <v>11</v>
      </c>
      <c r="F64" s="8">
        <v>0.61</v>
      </c>
      <c r="G64" s="12">
        <v>38</v>
      </c>
      <c r="H64" s="8">
        <v>2.33</v>
      </c>
      <c r="I64" s="12">
        <v>0</v>
      </c>
    </row>
    <row r="65" spans="2:9" ht="15" customHeight="1" x14ac:dyDescent="0.2">
      <c r="B65" t="s">
        <v>159</v>
      </c>
      <c r="C65" s="12">
        <v>48</v>
      </c>
      <c r="D65" s="8">
        <v>1.4</v>
      </c>
      <c r="E65" s="12">
        <v>11</v>
      </c>
      <c r="F65" s="8">
        <v>0.61</v>
      </c>
      <c r="G65" s="12">
        <v>37</v>
      </c>
      <c r="H65" s="8">
        <v>2.27</v>
      </c>
      <c r="I65" s="12">
        <v>0</v>
      </c>
    </row>
    <row r="66" spans="2:9" ht="15" customHeight="1" x14ac:dyDescent="0.2">
      <c r="B66" t="s">
        <v>188</v>
      </c>
      <c r="C66" s="12">
        <v>46</v>
      </c>
      <c r="D66" s="8">
        <v>1.34</v>
      </c>
      <c r="E66" s="12">
        <v>29</v>
      </c>
      <c r="F66" s="8">
        <v>1.61</v>
      </c>
      <c r="G66" s="12">
        <v>17</v>
      </c>
      <c r="H66" s="8">
        <v>1.04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E595-31EC-4B86-8E35-F996B120DF1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310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654</v>
      </c>
      <c r="D6" s="8">
        <v>16.760000000000002</v>
      </c>
      <c r="E6" s="12">
        <v>317</v>
      </c>
      <c r="F6" s="8">
        <v>13.57</v>
      </c>
      <c r="G6" s="12">
        <v>337</v>
      </c>
      <c r="H6" s="8">
        <v>22.26</v>
      </c>
      <c r="I6" s="12">
        <v>0</v>
      </c>
    </row>
    <row r="7" spans="2:9" ht="15" customHeight="1" x14ac:dyDescent="0.2">
      <c r="B7" t="s">
        <v>73</v>
      </c>
      <c r="C7" s="12">
        <v>668</v>
      </c>
      <c r="D7" s="8">
        <v>17.12</v>
      </c>
      <c r="E7" s="12">
        <v>334</v>
      </c>
      <c r="F7" s="8">
        <v>14.3</v>
      </c>
      <c r="G7" s="12">
        <v>334</v>
      </c>
      <c r="H7" s="8">
        <v>22.06</v>
      </c>
      <c r="I7" s="12">
        <v>0</v>
      </c>
    </row>
    <row r="8" spans="2:9" ht="15" customHeight="1" x14ac:dyDescent="0.2">
      <c r="B8" t="s">
        <v>74</v>
      </c>
      <c r="C8" s="12">
        <v>6</v>
      </c>
      <c r="D8" s="8">
        <v>0.15</v>
      </c>
      <c r="E8" s="12">
        <v>0</v>
      </c>
      <c r="F8" s="8">
        <v>0</v>
      </c>
      <c r="G8" s="12">
        <v>6</v>
      </c>
      <c r="H8" s="8">
        <v>0.4</v>
      </c>
      <c r="I8" s="12">
        <v>0</v>
      </c>
    </row>
    <row r="9" spans="2:9" ht="15" customHeight="1" x14ac:dyDescent="0.2">
      <c r="B9" t="s">
        <v>75</v>
      </c>
      <c r="C9" s="12">
        <v>13</v>
      </c>
      <c r="D9" s="8">
        <v>0.33</v>
      </c>
      <c r="E9" s="12">
        <v>2</v>
      </c>
      <c r="F9" s="8">
        <v>0.09</v>
      </c>
      <c r="G9" s="12">
        <v>11</v>
      </c>
      <c r="H9" s="8">
        <v>0.73</v>
      </c>
      <c r="I9" s="12">
        <v>0</v>
      </c>
    </row>
    <row r="10" spans="2:9" ht="15" customHeight="1" x14ac:dyDescent="0.2">
      <c r="B10" t="s">
        <v>76</v>
      </c>
      <c r="C10" s="12">
        <v>45</v>
      </c>
      <c r="D10" s="8">
        <v>1.1499999999999999</v>
      </c>
      <c r="E10" s="12">
        <v>23</v>
      </c>
      <c r="F10" s="8">
        <v>0.98</v>
      </c>
      <c r="G10" s="12">
        <v>17</v>
      </c>
      <c r="H10" s="8">
        <v>1.1200000000000001</v>
      </c>
      <c r="I10" s="12">
        <v>1</v>
      </c>
    </row>
    <row r="11" spans="2:9" ht="15" customHeight="1" x14ac:dyDescent="0.2">
      <c r="B11" t="s">
        <v>77</v>
      </c>
      <c r="C11" s="12">
        <v>919</v>
      </c>
      <c r="D11" s="8">
        <v>23.56</v>
      </c>
      <c r="E11" s="12">
        <v>540</v>
      </c>
      <c r="F11" s="8">
        <v>23.12</v>
      </c>
      <c r="G11" s="12">
        <v>378</v>
      </c>
      <c r="H11" s="8">
        <v>24.97</v>
      </c>
      <c r="I11" s="12">
        <v>1</v>
      </c>
    </row>
    <row r="12" spans="2:9" ht="15" customHeight="1" x14ac:dyDescent="0.2">
      <c r="B12" t="s">
        <v>78</v>
      </c>
      <c r="C12" s="12">
        <v>20</v>
      </c>
      <c r="D12" s="8">
        <v>0.51</v>
      </c>
      <c r="E12" s="12">
        <v>3</v>
      </c>
      <c r="F12" s="8">
        <v>0.13</v>
      </c>
      <c r="G12" s="12">
        <v>17</v>
      </c>
      <c r="H12" s="8">
        <v>1.1200000000000001</v>
      </c>
      <c r="I12" s="12">
        <v>0</v>
      </c>
    </row>
    <row r="13" spans="2:9" ht="15" customHeight="1" x14ac:dyDescent="0.2">
      <c r="B13" t="s">
        <v>79</v>
      </c>
      <c r="C13" s="12">
        <v>198</v>
      </c>
      <c r="D13" s="8">
        <v>5.08</v>
      </c>
      <c r="E13" s="12">
        <v>74</v>
      </c>
      <c r="F13" s="8">
        <v>3.17</v>
      </c>
      <c r="G13" s="12">
        <v>123</v>
      </c>
      <c r="H13" s="8">
        <v>8.1199999999999992</v>
      </c>
      <c r="I13" s="12">
        <v>1</v>
      </c>
    </row>
    <row r="14" spans="2:9" ht="15" customHeight="1" x14ac:dyDescent="0.2">
      <c r="B14" t="s">
        <v>80</v>
      </c>
      <c r="C14" s="12">
        <v>170</v>
      </c>
      <c r="D14" s="8">
        <v>4.3600000000000003</v>
      </c>
      <c r="E14" s="12">
        <v>102</v>
      </c>
      <c r="F14" s="8">
        <v>4.37</v>
      </c>
      <c r="G14" s="12">
        <v>68</v>
      </c>
      <c r="H14" s="8">
        <v>4.49</v>
      </c>
      <c r="I14" s="12">
        <v>0</v>
      </c>
    </row>
    <row r="15" spans="2:9" ht="15" customHeight="1" x14ac:dyDescent="0.2">
      <c r="B15" t="s">
        <v>81</v>
      </c>
      <c r="C15" s="12">
        <v>312</v>
      </c>
      <c r="D15" s="8">
        <v>8</v>
      </c>
      <c r="E15" s="12">
        <v>264</v>
      </c>
      <c r="F15" s="8">
        <v>11.3</v>
      </c>
      <c r="G15" s="12">
        <v>46</v>
      </c>
      <c r="H15" s="8">
        <v>3.04</v>
      </c>
      <c r="I15" s="12">
        <v>0</v>
      </c>
    </row>
    <row r="16" spans="2:9" ht="15" customHeight="1" x14ac:dyDescent="0.2">
      <c r="B16" t="s">
        <v>82</v>
      </c>
      <c r="C16" s="12">
        <v>451</v>
      </c>
      <c r="D16" s="8">
        <v>11.56</v>
      </c>
      <c r="E16" s="12">
        <v>377</v>
      </c>
      <c r="F16" s="8">
        <v>16.14</v>
      </c>
      <c r="G16" s="12">
        <v>69</v>
      </c>
      <c r="H16" s="8">
        <v>4.5599999999999996</v>
      </c>
      <c r="I16" s="12">
        <v>2</v>
      </c>
    </row>
    <row r="17" spans="2:9" ht="15" customHeight="1" x14ac:dyDescent="0.2">
      <c r="B17" t="s">
        <v>83</v>
      </c>
      <c r="C17" s="12">
        <v>175</v>
      </c>
      <c r="D17" s="8">
        <v>4.49</v>
      </c>
      <c r="E17" s="12">
        <v>133</v>
      </c>
      <c r="F17" s="8">
        <v>5.69</v>
      </c>
      <c r="G17" s="12">
        <v>31</v>
      </c>
      <c r="H17" s="8">
        <v>2.0499999999999998</v>
      </c>
      <c r="I17" s="12">
        <v>1</v>
      </c>
    </row>
    <row r="18" spans="2:9" ht="15" customHeight="1" x14ac:dyDescent="0.2">
      <c r="B18" t="s">
        <v>84</v>
      </c>
      <c r="C18" s="12">
        <v>174</v>
      </c>
      <c r="D18" s="8">
        <v>4.46</v>
      </c>
      <c r="E18" s="12">
        <v>126</v>
      </c>
      <c r="F18" s="8">
        <v>5.39</v>
      </c>
      <c r="G18" s="12">
        <v>28</v>
      </c>
      <c r="H18" s="8">
        <v>1.85</v>
      </c>
      <c r="I18" s="12">
        <v>0</v>
      </c>
    </row>
    <row r="19" spans="2:9" ht="15" customHeight="1" x14ac:dyDescent="0.2">
      <c r="B19" t="s">
        <v>85</v>
      </c>
      <c r="C19" s="12">
        <v>96</v>
      </c>
      <c r="D19" s="8">
        <v>2.46</v>
      </c>
      <c r="E19" s="12">
        <v>41</v>
      </c>
      <c r="F19" s="8">
        <v>1.76</v>
      </c>
      <c r="G19" s="12">
        <v>49</v>
      </c>
      <c r="H19" s="8">
        <v>3.24</v>
      </c>
      <c r="I19" s="12">
        <v>1</v>
      </c>
    </row>
    <row r="20" spans="2:9" ht="15" customHeight="1" x14ac:dyDescent="0.2">
      <c r="B20" s="9" t="s">
        <v>277</v>
      </c>
      <c r="C20" s="12">
        <f>SUM(LTBL_23213[総数／事業所数])</f>
        <v>3901</v>
      </c>
      <c r="E20" s="12">
        <f>SUBTOTAL(109,LTBL_23213[個人／事業所数])</f>
        <v>2336</v>
      </c>
      <c r="G20" s="12">
        <f>SUBTOTAL(109,LTBL_23213[法人／事業所数])</f>
        <v>1514</v>
      </c>
      <c r="I20" s="12">
        <f>SUBTOTAL(109,LTBL_23213[法人以外の団体／事業所数])</f>
        <v>7</v>
      </c>
    </row>
    <row r="21" spans="2:9" ht="15" customHeight="1" x14ac:dyDescent="0.2">
      <c r="E21" s="11">
        <f>LTBL_23213[[#Totals],[個人／事業所数]]/LTBL_23213[[#Totals],[総数／事業所数]]</f>
        <v>0.59882081517559604</v>
      </c>
      <c r="G21" s="11">
        <f>LTBL_23213[[#Totals],[法人／事業所数]]/LTBL_23213[[#Totals],[総数／事業所数]]</f>
        <v>0.38810561394514226</v>
      </c>
      <c r="I21" s="11">
        <f>LTBL_23213[[#Totals],[法人以外の団体／事業所数]]/LTBL_23213[[#Totals],[総数／事業所数]]</f>
        <v>1.7944116893104333E-3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400</v>
      </c>
      <c r="D24" s="8">
        <v>10.25</v>
      </c>
      <c r="E24" s="12">
        <v>352</v>
      </c>
      <c r="F24" s="8">
        <v>15.07</v>
      </c>
      <c r="G24" s="12">
        <v>47</v>
      </c>
      <c r="H24" s="8">
        <v>3.1</v>
      </c>
      <c r="I24" s="12">
        <v>1</v>
      </c>
    </row>
    <row r="25" spans="2:9" ht="15" customHeight="1" x14ac:dyDescent="0.2">
      <c r="B25" t="s">
        <v>110</v>
      </c>
      <c r="C25" s="12">
        <v>281</v>
      </c>
      <c r="D25" s="8">
        <v>7.2</v>
      </c>
      <c r="E25" s="12">
        <v>246</v>
      </c>
      <c r="F25" s="8">
        <v>10.53</v>
      </c>
      <c r="G25" s="12">
        <v>35</v>
      </c>
      <c r="H25" s="8">
        <v>2.31</v>
      </c>
      <c r="I25" s="12">
        <v>0</v>
      </c>
    </row>
    <row r="26" spans="2:9" ht="15" customHeight="1" x14ac:dyDescent="0.2">
      <c r="B26" t="s">
        <v>94</v>
      </c>
      <c r="C26" s="12">
        <v>278</v>
      </c>
      <c r="D26" s="8">
        <v>7.13</v>
      </c>
      <c r="E26" s="12">
        <v>121</v>
      </c>
      <c r="F26" s="8">
        <v>5.18</v>
      </c>
      <c r="G26" s="12">
        <v>157</v>
      </c>
      <c r="H26" s="8">
        <v>10.37</v>
      </c>
      <c r="I26" s="12">
        <v>0</v>
      </c>
    </row>
    <row r="27" spans="2:9" ht="15" customHeight="1" x14ac:dyDescent="0.2">
      <c r="B27" t="s">
        <v>105</v>
      </c>
      <c r="C27" s="12">
        <v>249</v>
      </c>
      <c r="D27" s="8">
        <v>6.38</v>
      </c>
      <c r="E27" s="12">
        <v>161</v>
      </c>
      <c r="F27" s="8">
        <v>6.89</v>
      </c>
      <c r="G27" s="12">
        <v>88</v>
      </c>
      <c r="H27" s="8">
        <v>5.81</v>
      </c>
      <c r="I27" s="12">
        <v>0</v>
      </c>
    </row>
    <row r="28" spans="2:9" ht="15" customHeight="1" x14ac:dyDescent="0.2">
      <c r="B28" t="s">
        <v>95</v>
      </c>
      <c r="C28" s="12">
        <v>237</v>
      </c>
      <c r="D28" s="8">
        <v>6.08</v>
      </c>
      <c r="E28" s="12">
        <v>144</v>
      </c>
      <c r="F28" s="8">
        <v>6.16</v>
      </c>
      <c r="G28" s="12">
        <v>93</v>
      </c>
      <c r="H28" s="8">
        <v>6.14</v>
      </c>
      <c r="I28" s="12">
        <v>0</v>
      </c>
    </row>
    <row r="29" spans="2:9" ht="15" customHeight="1" x14ac:dyDescent="0.2">
      <c r="B29" t="s">
        <v>103</v>
      </c>
      <c r="C29" s="12">
        <v>193</v>
      </c>
      <c r="D29" s="8">
        <v>4.95</v>
      </c>
      <c r="E29" s="12">
        <v>153</v>
      </c>
      <c r="F29" s="8">
        <v>6.55</v>
      </c>
      <c r="G29" s="12">
        <v>39</v>
      </c>
      <c r="H29" s="8">
        <v>2.58</v>
      </c>
      <c r="I29" s="12">
        <v>1</v>
      </c>
    </row>
    <row r="30" spans="2:9" ht="15" customHeight="1" x14ac:dyDescent="0.2">
      <c r="B30" t="s">
        <v>112</v>
      </c>
      <c r="C30" s="12">
        <v>175</v>
      </c>
      <c r="D30" s="8">
        <v>4.49</v>
      </c>
      <c r="E30" s="12">
        <v>133</v>
      </c>
      <c r="F30" s="8">
        <v>5.69</v>
      </c>
      <c r="G30" s="12">
        <v>31</v>
      </c>
      <c r="H30" s="8">
        <v>2.0499999999999998</v>
      </c>
      <c r="I30" s="12">
        <v>1</v>
      </c>
    </row>
    <row r="31" spans="2:9" ht="15" customHeight="1" x14ac:dyDescent="0.2">
      <c r="B31" t="s">
        <v>107</v>
      </c>
      <c r="C31" s="12">
        <v>144</v>
      </c>
      <c r="D31" s="8">
        <v>3.69</v>
      </c>
      <c r="E31" s="12">
        <v>55</v>
      </c>
      <c r="F31" s="8">
        <v>2.35</v>
      </c>
      <c r="G31" s="12">
        <v>88</v>
      </c>
      <c r="H31" s="8">
        <v>5.81</v>
      </c>
      <c r="I31" s="12">
        <v>1</v>
      </c>
    </row>
    <row r="32" spans="2:9" ht="15" customHeight="1" x14ac:dyDescent="0.2">
      <c r="B32" t="s">
        <v>96</v>
      </c>
      <c r="C32" s="12">
        <v>139</v>
      </c>
      <c r="D32" s="8">
        <v>3.56</v>
      </c>
      <c r="E32" s="12">
        <v>52</v>
      </c>
      <c r="F32" s="8">
        <v>2.23</v>
      </c>
      <c r="G32" s="12">
        <v>87</v>
      </c>
      <c r="H32" s="8">
        <v>5.75</v>
      </c>
      <c r="I32" s="12">
        <v>0</v>
      </c>
    </row>
    <row r="33" spans="2:9" ht="15" customHeight="1" x14ac:dyDescent="0.2">
      <c r="B33" t="s">
        <v>104</v>
      </c>
      <c r="C33" s="12">
        <v>138</v>
      </c>
      <c r="D33" s="8">
        <v>3.54</v>
      </c>
      <c r="E33" s="12">
        <v>88</v>
      </c>
      <c r="F33" s="8">
        <v>3.77</v>
      </c>
      <c r="G33" s="12">
        <v>50</v>
      </c>
      <c r="H33" s="8">
        <v>3.3</v>
      </c>
      <c r="I33" s="12">
        <v>0</v>
      </c>
    </row>
    <row r="34" spans="2:9" ht="15" customHeight="1" x14ac:dyDescent="0.2">
      <c r="B34" t="s">
        <v>113</v>
      </c>
      <c r="C34" s="12">
        <v>133</v>
      </c>
      <c r="D34" s="8">
        <v>3.41</v>
      </c>
      <c r="E34" s="12">
        <v>126</v>
      </c>
      <c r="F34" s="8">
        <v>5.39</v>
      </c>
      <c r="G34" s="12">
        <v>7</v>
      </c>
      <c r="H34" s="8">
        <v>0.46</v>
      </c>
      <c r="I34" s="12">
        <v>0</v>
      </c>
    </row>
    <row r="35" spans="2:9" ht="15" customHeight="1" x14ac:dyDescent="0.2">
      <c r="B35" t="s">
        <v>125</v>
      </c>
      <c r="C35" s="12">
        <v>128</v>
      </c>
      <c r="D35" s="8">
        <v>3.28</v>
      </c>
      <c r="E35" s="12">
        <v>90</v>
      </c>
      <c r="F35" s="8">
        <v>3.85</v>
      </c>
      <c r="G35" s="12">
        <v>38</v>
      </c>
      <c r="H35" s="8">
        <v>2.5099999999999998</v>
      </c>
      <c r="I35" s="12">
        <v>0</v>
      </c>
    </row>
    <row r="36" spans="2:9" ht="15" customHeight="1" x14ac:dyDescent="0.2">
      <c r="B36" t="s">
        <v>98</v>
      </c>
      <c r="C36" s="12">
        <v>110</v>
      </c>
      <c r="D36" s="8">
        <v>2.82</v>
      </c>
      <c r="E36" s="12">
        <v>33</v>
      </c>
      <c r="F36" s="8">
        <v>1.41</v>
      </c>
      <c r="G36" s="12">
        <v>77</v>
      </c>
      <c r="H36" s="8">
        <v>5.09</v>
      </c>
      <c r="I36" s="12">
        <v>0</v>
      </c>
    </row>
    <row r="37" spans="2:9" ht="15" customHeight="1" x14ac:dyDescent="0.2">
      <c r="B37" t="s">
        <v>102</v>
      </c>
      <c r="C37" s="12">
        <v>110</v>
      </c>
      <c r="D37" s="8">
        <v>2.82</v>
      </c>
      <c r="E37" s="12">
        <v>58</v>
      </c>
      <c r="F37" s="8">
        <v>2.48</v>
      </c>
      <c r="G37" s="12">
        <v>52</v>
      </c>
      <c r="H37" s="8">
        <v>3.43</v>
      </c>
      <c r="I37" s="12">
        <v>0</v>
      </c>
    </row>
    <row r="38" spans="2:9" ht="15" customHeight="1" x14ac:dyDescent="0.2">
      <c r="B38" t="s">
        <v>109</v>
      </c>
      <c r="C38" s="12">
        <v>90</v>
      </c>
      <c r="D38" s="8">
        <v>2.31</v>
      </c>
      <c r="E38" s="12">
        <v>48</v>
      </c>
      <c r="F38" s="8">
        <v>2.0499999999999998</v>
      </c>
      <c r="G38" s="12">
        <v>42</v>
      </c>
      <c r="H38" s="8">
        <v>2.77</v>
      </c>
      <c r="I38" s="12">
        <v>0</v>
      </c>
    </row>
    <row r="39" spans="2:9" ht="15" customHeight="1" x14ac:dyDescent="0.2">
      <c r="B39" t="s">
        <v>97</v>
      </c>
      <c r="C39" s="12">
        <v>77</v>
      </c>
      <c r="D39" s="8">
        <v>1.97</v>
      </c>
      <c r="E39" s="12">
        <v>37</v>
      </c>
      <c r="F39" s="8">
        <v>1.58</v>
      </c>
      <c r="G39" s="12">
        <v>40</v>
      </c>
      <c r="H39" s="8">
        <v>2.64</v>
      </c>
      <c r="I39" s="12">
        <v>0</v>
      </c>
    </row>
    <row r="40" spans="2:9" ht="15" customHeight="1" x14ac:dyDescent="0.2">
      <c r="B40" t="s">
        <v>108</v>
      </c>
      <c r="C40" s="12">
        <v>73</v>
      </c>
      <c r="D40" s="8">
        <v>1.87</v>
      </c>
      <c r="E40" s="12">
        <v>53</v>
      </c>
      <c r="F40" s="8">
        <v>2.27</v>
      </c>
      <c r="G40" s="12">
        <v>20</v>
      </c>
      <c r="H40" s="8">
        <v>1.32</v>
      </c>
      <c r="I40" s="12">
        <v>0</v>
      </c>
    </row>
    <row r="41" spans="2:9" ht="15" customHeight="1" x14ac:dyDescent="0.2">
      <c r="B41" t="s">
        <v>101</v>
      </c>
      <c r="C41" s="12">
        <v>64</v>
      </c>
      <c r="D41" s="8">
        <v>1.64</v>
      </c>
      <c r="E41" s="12">
        <v>20</v>
      </c>
      <c r="F41" s="8">
        <v>0.86</v>
      </c>
      <c r="G41" s="12">
        <v>44</v>
      </c>
      <c r="H41" s="8">
        <v>2.91</v>
      </c>
      <c r="I41" s="12">
        <v>0</v>
      </c>
    </row>
    <row r="42" spans="2:9" ht="15" customHeight="1" x14ac:dyDescent="0.2">
      <c r="B42" t="s">
        <v>129</v>
      </c>
      <c r="C42" s="12">
        <v>51</v>
      </c>
      <c r="D42" s="8">
        <v>1.31</v>
      </c>
      <c r="E42" s="12">
        <v>36</v>
      </c>
      <c r="F42" s="8">
        <v>1.54</v>
      </c>
      <c r="G42" s="12">
        <v>15</v>
      </c>
      <c r="H42" s="8">
        <v>0.99</v>
      </c>
      <c r="I42" s="12">
        <v>0</v>
      </c>
    </row>
    <row r="43" spans="2:9" ht="15" customHeight="1" x14ac:dyDescent="0.2">
      <c r="B43" t="s">
        <v>128</v>
      </c>
      <c r="C43" s="12">
        <v>49</v>
      </c>
      <c r="D43" s="8">
        <v>1.26</v>
      </c>
      <c r="E43" s="12">
        <v>23</v>
      </c>
      <c r="F43" s="8">
        <v>0.98</v>
      </c>
      <c r="G43" s="12">
        <v>26</v>
      </c>
      <c r="H43" s="8">
        <v>1.72</v>
      </c>
      <c r="I43" s="12">
        <v>0</v>
      </c>
    </row>
    <row r="44" spans="2:9" ht="15" customHeight="1" x14ac:dyDescent="0.2">
      <c r="B44" t="s">
        <v>99</v>
      </c>
      <c r="C44" s="12">
        <v>49</v>
      </c>
      <c r="D44" s="8">
        <v>1.26</v>
      </c>
      <c r="E44" s="12">
        <v>14</v>
      </c>
      <c r="F44" s="8">
        <v>0.6</v>
      </c>
      <c r="G44" s="12">
        <v>35</v>
      </c>
      <c r="H44" s="8">
        <v>2.31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168</v>
      </c>
      <c r="C48" s="12">
        <v>195</v>
      </c>
      <c r="D48" s="8">
        <v>5</v>
      </c>
      <c r="E48" s="12">
        <v>177</v>
      </c>
      <c r="F48" s="8">
        <v>7.58</v>
      </c>
      <c r="G48" s="12">
        <v>17</v>
      </c>
      <c r="H48" s="8">
        <v>1.1200000000000001</v>
      </c>
      <c r="I48" s="12">
        <v>1</v>
      </c>
    </row>
    <row r="49" spans="2:9" ht="15" customHeight="1" x14ac:dyDescent="0.2">
      <c r="B49" t="s">
        <v>205</v>
      </c>
      <c r="C49" s="12">
        <v>111</v>
      </c>
      <c r="D49" s="8">
        <v>2.85</v>
      </c>
      <c r="E49" s="12">
        <v>65</v>
      </c>
      <c r="F49" s="8">
        <v>2.78</v>
      </c>
      <c r="G49" s="12">
        <v>46</v>
      </c>
      <c r="H49" s="8">
        <v>3.04</v>
      </c>
      <c r="I49" s="12">
        <v>0</v>
      </c>
    </row>
    <row r="50" spans="2:9" ht="15" customHeight="1" x14ac:dyDescent="0.2">
      <c r="B50" t="s">
        <v>170</v>
      </c>
      <c r="C50" s="12">
        <v>108</v>
      </c>
      <c r="D50" s="8">
        <v>2.77</v>
      </c>
      <c r="E50" s="12">
        <v>93</v>
      </c>
      <c r="F50" s="8">
        <v>3.98</v>
      </c>
      <c r="G50" s="12">
        <v>14</v>
      </c>
      <c r="H50" s="8">
        <v>0.92</v>
      </c>
      <c r="I50" s="12">
        <v>1</v>
      </c>
    </row>
    <row r="51" spans="2:9" ht="15" customHeight="1" x14ac:dyDescent="0.2">
      <c r="B51" t="s">
        <v>167</v>
      </c>
      <c r="C51" s="12">
        <v>104</v>
      </c>
      <c r="D51" s="8">
        <v>2.67</v>
      </c>
      <c r="E51" s="12">
        <v>102</v>
      </c>
      <c r="F51" s="8">
        <v>4.37</v>
      </c>
      <c r="G51" s="12">
        <v>2</v>
      </c>
      <c r="H51" s="8">
        <v>0.13</v>
      </c>
      <c r="I51" s="12">
        <v>0</v>
      </c>
    </row>
    <row r="52" spans="2:9" ht="15" customHeight="1" x14ac:dyDescent="0.2">
      <c r="B52" t="s">
        <v>171</v>
      </c>
      <c r="C52" s="12">
        <v>99</v>
      </c>
      <c r="D52" s="8">
        <v>2.54</v>
      </c>
      <c r="E52" s="12">
        <v>95</v>
      </c>
      <c r="F52" s="8">
        <v>4.07</v>
      </c>
      <c r="G52" s="12">
        <v>4</v>
      </c>
      <c r="H52" s="8">
        <v>0.26</v>
      </c>
      <c r="I52" s="12">
        <v>0</v>
      </c>
    </row>
    <row r="53" spans="2:9" ht="15" customHeight="1" x14ac:dyDescent="0.2">
      <c r="B53" t="s">
        <v>156</v>
      </c>
      <c r="C53" s="12">
        <v>96</v>
      </c>
      <c r="D53" s="8">
        <v>2.46</v>
      </c>
      <c r="E53" s="12">
        <v>66</v>
      </c>
      <c r="F53" s="8">
        <v>2.83</v>
      </c>
      <c r="G53" s="12">
        <v>30</v>
      </c>
      <c r="H53" s="8">
        <v>1.98</v>
      </c>
      <c r="I53" s="12">
        <v>0</v>
      </c>
    </row>
    <row r="54" spans="2:9" ht="15" customHeight="1" x14ac:dyDescent="0.2">
      <c r="B54" t="s">
        <v>165</v>
      </c>
      <c r="C54" s="12">
        <v>83</v>
      </c>
      <c r="D54" s="8">
        <v>2.13</v>
      </c>
      <c r="E54" s="12">
        <v>76</v>
      </c>
      <c r="F54" s="8">
        <v>3.25</v>
      </c>
      <c r="G54" s="12">
        <v>7</v>
      </c>
      <c r="H54" s="8">
        <v>0.46</v>
      </c>
      <c r="I54" s="12">
        <v>0</v>
      </c>
    </row>
    <row r="55" spans="2:9" ht="15" customHeight="1" x14ac:dyDescent="0.2">
      <c r="B55" t="s">
        <v>161</v>
      </c>
      <c r="C55" s="12">
        <v>80</v>
      </c>
      <c r="D55" s="8">
        <v>2.0499999999999998</v>
      </c>
      <c r="E55" s="12">
        <v>43</v>
      </c>
      <c r="F55" s="8">
        <v>1.84</v>
      </c>
      <c r="G55" s="12">
        <v>37</v>
      </c>
      <c r="H55" s="8">
        <v>2.44</v>
      </c>
      <c r="I55" s="12">
        <v>0</v>
      </c>
    </row>
    <row r="56" spans="2:9" ht="15" customHeight="1" x14ac:dyDescent="0.2">
      <c r="B56" t="s">
        <v>158</v>
      </c>
      <c r="C56" s="12">
        <v>74</v>
      </c>
      <c r="D56" s="8">
        <v>1.9</v>
      </c>
      <c r="E56" s="12">
        <v>50</v>
      </c>
      <c r="F56" s="8">
        <v>2.14</v>
      </c>
      <c r="G56" s="12">
        <v>24</v>
      </c>
      <c r="H56" s="8">
        <v>1.59</v>
      </c>
      <c r="I56" s="12">
        <v>0</v>
      </c>
    </row>
    <row r="57" spans="2:9" ht="15" customHeight="1" x14ac:dyDescent="0.2">
      <c r="B57" t="s">
        <v>152</v>
      </c>
      <c r="C57" s="12">
        <v>70</v>
      </c>
      <c r="D57" s="8">
        <v>1.79</v>
      </c>
      <c r="E57" s="12">
        <v>20</v>
      </c>
      <c r="F57" s="8">
        <v>0.86</v>
      </c>
      <c r="G57" s="12">
        <v>50</v>
      </c>
      <c r="H57" s="8">
        <v>3.3</v>
      </c>
      <c r="I57" s="12">
        <v>0</v>
      </c>
    </row>
    <row r="58" spans="2:9" ht="15" customHeight="1" x14ac:dyDescent="0.2">
      <c r="B58" t="s">
        <v>154</v>
      </c>
      <c r="C58" s="12">
        <v>70</v>
      </c>
      <c r="D58" s="8">
        <v>1.79</v>
      </c>
      <c r="E58" s="12">
        <v>25</v>
      </c>
      <c r="F58" s="8">
        <v>1.07</v>
      </c>
      <c r="G58" s="12">
        <v>45</v>
      </c>
      <c r="H58" s="8">
        <v>2.97</v>
      </c>
      <c r="I58" s="12">
        <v>0</v>
      </c>
    </row>
    <row r="59" spans="2:9" ht="15" customHeight="1" x14ac:dyDescent="0.2">
      <c r="B59" t="s">
        <v>186</v>
      </c>
      <c r="C59" s="12">
        <v>67</v>
      </c>
      <c r="D59" s="8">
        <v>1.72</v>
      </c>
      <c r="E59" s="12">
        <v>46</v>
      </c>
      <c r="F59" s="8">
        <v>1.97</v>
      </c>
      <c r="G59" s="12">
        <v>21</v>
      </c>
      <c r="H59" s="8">
        <v>1.39</v>
      </c>
      <c r="I59" s="12">
        <v>0</v>
      </c>
    </row>
    <row r="60" spans="2:9" ht="15" customHeight="1" x14ac:dyDescent="0.2">
      <c r="B60" t="s">
        <v>166</v>
      </c>
      <c r="C60" s="12">
        <v>65</v>
      </c>
      <c r="D60" s="8">
        <v>1.67</v>
      </c>
      <c r="E60" s="12">
        <v>48</v>
      </c>
      <c r="F60" s="8">
        <v>2.0499999999999998</v>
      </c>
      <c r="G60" s="12">
        <v>17</v>
      </c>
      <c r="H60" s="8">
        <v>1.1200000000000001</v>
      </c>
      <c r="I60" s="12">
        <v>0</v>
      </c>
    </row>
    <row r="61" spans="2:9" ht="15" customHeight="1" x14ac:dyDescent="0.2">
      <c r="B61" t="s">
        <v>153</v>
      </c>
      <c r="C61" s="12">
        <v>61</v>
      </c>
      <c r="D61" s="8">
        <v>1.56</v>
      </c>
      <c r="E61" s="12">
        <v>18</v>
      </c>
      <c r="F61" s="8">
        <v>0.77</v>
      </c>
      <c r="G61" s="12">
        <v>43</v>
      </c>
      <c r="H61" s="8">
        <v>2.84</v>
      </c>
      <c r="I61" s="12">
        <v>0</v>
      </c>
    </row>
    <row r="62" spans="2:9" ht="15" customHeight="1" x14ac:dyDescent="0.2">
      <c r="B62" t="s">
        <v>163</v>
      </c>
      <c r="C62" s="12">
        <v>61</v>
      </c>
      <c r="D62" s="8">
        <v>1.56</v>
      </c>
      <c r="E62" s="12">
        <v>48</v>
      </c>
      <c r="F62" s="8">
        <v>2.0499999999999998</v>
      </c>
      <c r="G62" s="12">
        <v>13</v>
      </c>
      <c r="H62" s="8">
        <v>0.86</v>
      </c>
      <c r="I62" s="12">
        <v>0</v>
      </c>
    </row>
    <row r="63" spans="2:9" ht="15" customHeight="1" x14ac:dyDescent="0.2">
      <c r="B63" t="s">
        <v>162</v>
      </c>
      <c r="C63" s="12">
        <v>59</v>
      </c>
      <c r="D63" s="8">
        <v>1.51</v>
      </c>
      <c r="E63" s="12">
        <v>27</v>
      </c>
      <c r="F63" s="8">
        <v>1.1599999999999999</v>
      </c>
      <c r="G63" s="12">
        <v>32</v>
      </c>
      <c r="H63" s="8">
        <v>2.11</v>
      </c>
      <c r="I63" s="12">
        <v>0</v>
      </c>
    </row>
    <row r="64" spans="2:9" ht="15" customHeight="1" x14ac:dyDescent="0.2">
      <c r="B64" t="s">
        <v>210</v>
      </c>
      <c r="C64" s="12">
        <v>57</v>
      </c>
      <c r="D64" s="8">
        <v>1.46</v>
      </c>
      <c r="E64" s="12">
        <v>52</v>
      </c>
      <c r="F64" s="8">
        <v>2.23</v>
      </c>
      <c r="G64" s="12">
        <v>5</v>
      </c>
      <c r="H64" s="8">
        <v>0.33</v>
      </c>
      <c r="I64" s="12">
        <v>0</v>
      </c>
    </row>
    <row r="65" spans="2:9" ht="15" customHeight="1" x14ac:dyDescent="0.2">
      <c r="B65" t="s">
        <v>164</v>
      </c>
      <c r="C65" s="12">
        <v>56</v>
      </c>
      <c r="D65" s="8">
        <v>1.44</v>
      </c>
      <c r="E65" s="12">
        <v>53</v>
      </c>
      <c r="F65" s="8">
        <v>2.27</v>
      </c>
      <c r="G65" s="12">
        <v>3</v>
      </c>
      <c r="H65" s="8">
        <v>0.2</v>
      </c>
      <c r="I65" s="12">
        <v>0</v>
      </c>
    </row>
    <row r="66" spans="2:9" ht="15" customHeight="1" x14ac:dyDescent="0.2">
      <c r="B66" t="s">
        <v>155</v>
      </c>
      <c r="C66" s="12">
        <v>53</v>
      </c>
      <c r="D66" s="8">
        <v>1.36</v>
      </c>
      <c r="E66" s="12">
        <v>23</v>
      </c>
      <c r="F66" s="8">
        <v>0.98</v>
      </c>
      <c r="G66" s="12">
        <v>30</v>
      </c>
      <c r="H66" s="8">
        <v>1.98</v>
      </c>
      <c r="I66" s="12">
        <v>0</v>
      </c>
    </row>
    <row r="67" spans="2:9" ht="15" customHeight="1" x14ac:dyDescent="0.2">
      <c r="B67" t="s">
        <v>157</v>
      </c>
      <c r="C67" s="12">
        <v>52</v>
      </c>
      <c r="D67" s="8">
        <v>1.33</v>
      </c>
      <c r="E67" s="12">
        <v>30</v>
      </c>
      <c r="F67" s="8">
        <v>1.28</v>
      </c>
      <c r="G67" s="12">
        <v>22</v>
      </c>
      <c r="H67" s="8">
        <v>1.45</v>
      </c>
      <c r="I67" s="12">
        <v>0</v>
      </c>
    </row>
    <row r="68" spans="2:9" ht="15" customHeight="1" x14ac:dyDescent="0.2">
      <c r="B68" t="s">
        <v>169</v>
      </c>
      <c r="C68" s="12">
        <v>52</v>
      </c>
      <c r="D68" s="8">
        <v>1.33</v>
      </c>
      <c r="E68" s="12">
        <v>39</v>
      </c>
      <c r="F68" s="8">
        <v>1.67</v>
      </c>
      <c r="G68" s="12">
        <v>13</v>
      </c>
      <c r="H68" s="8">
        <v>0.86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77967-7467-4BDA-9707-724A5242497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311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0.11</v>
      </c>
      <c r="I5" s="12">
        <v>0</v>
      </c>
    </row>
    <row r="6" spans="2:9" ht="15" customHeight="1" x14ac:dyDescent="0.2">
      <c r="B6" t="s">
        <v>72</v>
      </c>
      <c r="C6" s="12">
        <v>240</v>
      </c>
      <c r="D6" s="8">
        <v>11.3</v>
      </c>
      <c r="E6" s="12">
        <v>77</v>
      </c>
      <c r="F6" s="8">
        <v>6.68</v>
      </c>
      <c r="G6" s="12">
        <v>163</v>
      </c>
      <c r="H6" s="8">
        <v>17.29</v>
      </c>
      <c r="I6" s="12">
        <v>0</v>
      </c>
    </row>
    <row r="7" spans="2:9" ht="15" customHeight="1" x14ac:dyDescent="0.2">
      <c r="B7" t="s">
        <v>73</v>
      </c>
      <c r="C7" s="12">
        <v>430</v>
      </c>
      <c r="D7" s="8">
        <v>20.239999999999998</v>
      </c>
      <c r="E7" s="12">
        <v>200</v>
      </c>
      <c r="F7" s="8">
        <v>17.36</v>
      </c>
      <c r="G7" s="12">
        <v>230</v>
      </c>
      <c r="H7" s="8">
        <v>24.39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0.14000000000000001</v>
      </c>
      <c r="E8" s="12">
        <v>0</v>
      </c>
      <c r="F8" s="8">
        <v>0</v>
      </c>
      <c r="G8" s="12">
        <v>2</v>
      </c>
      <c r="H8" s="8">
        <v>0.21</v>
      </c>
      <c r="I8" s="12">
        <v>0</v>
      </c>
    </row>
    <row r="9" spans="2:9" ht="15" customHeight="1" x14ac:dyDescent="0.2">
      <c r="B9" t="s">
        <v>75</v>
      </c>
      <c r="C9" s="12">
        <v>13</v>
      </c>
      <c r="D9" s="8">
        <v>0.61</v>
      </c>
      <c r="E9" s="12">
        <v>0</v>
      </c>
      <c r="F9" s="8">
        <v>0</v>
      </c>
      <c r="G9" s="12">
        <v>13</v>
      </c>
      <c r="H9" s="8">
        <v>1.38</v>
      </c>
      <c r="I9" s="12">
        <v>0</v>
      </c>
    </row>
    <row r="10" spans="2:9" ht="15" customHeight="1" x14ac:dyDescent="0.2">
      <c r="B10" t="s">
        <v>76</v>
      </c>
      <c r="C10" s="12">
        <v>14</v>
      </c>
      <c r="D10" s="8">
        <v>0.66</v>
      </c>
      <c r="E10" s="12">
        <v>4</v>
      </c>
      <c r="F10" s="8">
        <v>0.35</v>
      </c>
      <c r="G10" s="12">
        <v>9</v>
      </c>
      <c r="H10" s="8">
        <v>0.95</v>
      </c>
      <c r="I10" s="12">
        <v>1</v>
      </c>
    </row>
    <row r="11" spans="2:9" ht="15" customHeight="1" x14ac:dyDescent="0.2">
      <c r="B11" t="s">
        <v>77</v>
      </c>
      <c r="C11" s="12">
        <v>515</v>
      </c>
      <c r="D11" s="8">
        <v>24.25</v>
      </c>
      <c r="E11" s="12">
        <v>279</v>
      </c>
      <c r="F11" s="8">
        <v>24.22</v>
      </c>
      <c r="G11" s="12">
        <v>236</v>
      </c>
      <c r="H11" s="8">
        <v>25.03</v>
      </c>
      <c r="I11" s="12">
        <v>0</v>
      </c>
    </row>
    <row r="12" spans="2:9" ht="15" customHeight="1" x14ac:dyDescent="0.2">
      <c r="B12" t="s">
        <v>78</v>
      </c>
      <c r="C12" s="12">
        <v>14</v>
      </c>
      <c r="D12" s="8">
        <v>0.66</v>
      </c>
      <c r="E12" s="12">
        <v>2</v>
      </c>
      <c r="F12" s="8">
        <v>0.17</v>
      </c>
      <c r="G12" s="12">
        <v>12</v>
      </c>
      <c r="H12" s="8">
        <v>1.27</v>
      </c>
      <c r="I12" s="12">
        <v>0</v>
      </c>
    </row>
    <row r="13" spans="2:9" ht="15" customHeight="1" x14ac:dyDescent="0.2">
      <c r="B13" t="s">
        <v>79</v>
      </c>
      <c r="C13" s="12">
        <v>177</v>
      </c>
      <c r="D13" s="8">
        <v>8.33</v>
      </c>
      <c r="E13" s="12">
        <v>71</v>
      </c>
      <c r="F13" s="8">
        <v>6.16</v>
      </c>
      <c r="G13" s="12">
        <v>106</v>
      </c>
      <c r="H13" s="8">
        <v>11.24</v>
      </c>
      <c r="I13" s="12">
        <v>0</v>
      </c>
    </row>
    <row r="14" spans="2:9" ht="15" customHeight="1" x14ac:dyDescent="0.2">
      <c r="B14" t="s">
        <v>80</v>
      </c>
      <c r="C14" s="12">
        <v>83</v>
      </c>
      <c r="D14" s="8">
        <v>3.91</v>
      </c>
      <c r="E14" s="12">
        <v>50</v>
      </c>
      <c r="F14" s="8">
        <v>4.34</v>
      </c>
      <c r="G14" s="12">
        <v>33</v>
      </c>
      <c r="H14" s="8">
        <v>3.5</v>
      </c>
      <c r="I14" s="12">
        <v>0</v>
      </c>
    </row>
    <row r="15" spans="2:9" ht="15" customHeight="1" x14ac:dyDescent="0.2">
      <c r="B15" t="s">
        <v>81</v>
      </c>
      <c r="C15" s="12">
        <v>221</v>
      </c>
      <c r="D15" s="8">
        <v>10.4</v>
      </c>
      <c r="E15" s="12">
        <v>184</v>
      </c>
      <c r="F15" s="8">
        <v>15.97</v>
      </c>
      <c r="G15" s="12">
        <v>36</v>
      </c>
      <c r="H15" s="8">
        <v>3.82</v>
      </c>
      <c r="I15" s="12">
        <v>0</v>
      </c>
    </row>
    <row r="16" spans="2:9" ht="15" customHeight="1" x14ac:dyDescent="0.2">
      <c r="B16" t="s">
        <v>82</v>
      </c>
      <c r="C16" s="12">
        <v>208</v>
      </c>
      <c r="D16" s="8">
        <v>9.7899999999999991</v>
      </c>
      <c r="E16" s="12">
        <v>174</v>
      </c>
      <c r="F16" s="8">
        <v>15.1</v>
      </c>
      <c r="G16" s="12">
        <v>34</v>
      </c>
      <c r="H16" s="8">
        <v>3.61</v>
      </c>
      <c r="I16" s="12">
        <v>0</v>
      </c>
    </row>
    <row r="17" spans="2:9" ht="15" customHeight="1" x14ac:dyDescent="0.2">
      <c r="B17" t="s">
        <v>83</v>
      </c>
      <c r="C17" s="12">
        <v>77</v>
      </c>
      <c r="D17" s="8">
        <v>3.63</v>
      </c>
      <c r="E17" s="12">
        <v>48</v>
      </c>
      <c r="F17" s="8">
        <v>4.17</v>
      </c>
      <c r="G17" s="12">
        <v>16</v>
      </c>
      <c r="H17" s="8">
        <v>1.7</v>
      </c>
      <c r="I17" s="12">
        <v>11</v>
      </c>
    </row>
    <row r="18" spans="2:9" ht="15" customHeight="1" x14ac:dyDescent="0.2">
      <c r="B18" t="s">
        <v>84</v>
      </c>
      <c r="C18" s="12">
        <v>77</v>
      </c>
      <c r="D18" s="8">
        <v>3.63</v>
      </c>
      <c r="E18" s="12">
        <v>47</v>
      </c>
      <c r="F18" s="8">
        <v>4.08</v>
      </c>
      <c r="G18" s="12">
        <v>21</v>
      </c>
      <c r="H18" s="8">
        <v>2.23</v>
      </c>
      <c r="I18" s="12">
        <v>0</v>
      </c>
    </row>
    <row r="19" spans="2:9" ht="15" customHeight="1" x14ac:dyDescent="0.2">
      <c r="B19" t="s">
        <v>85</v>
      </c>
      <c r="C19" s="12">
        <v>51</v>
      </c>
      <c r="D19" s="8">
        <v>2.4</v>
      </c>
      <c r="E19" s="12">
        <v>16</v>
      </c>
      <c r="F19" s="8">
        <v>1.39</v>
      </c>
      <c r="G19" s="12">
        <v>31</v>
      </c>
      <c r="H19" s="8">
        <v>3.29</v>
      </c>
      <c r="I19" s="12">
        <v>0</v>
      </c>
    </row>
    <row r="20" spans="2:9" ht="15" customHeight="1" x14ac:dyDescent="0.2">
      <c r="B20" s="9" t="s">
        <v>277</v>
      </c>
      <c r="C20" s="12">
        <f>SUM(LTBL_23214[総数／事業所数])</f>
        <v>2124</v>
      </c>
      <c r="E20" s="12">
        <f>SUBTOTAL(109,LTBL_23214[個人／事業所数])</f>
        <v>1152</v>
      </c>
      <c r="G20" s="12">
        <f>SUBTOTAL(109,LTBL_23214[法人／事業所数])</f>
        <v>943</v>
      </c>
      <c r="I20" s="12">
        <f>SUBTOTAL(109,LTBL_23214[法人以外の団体／事業所数])</f>
        <v>12</v>
      </c>
    </row>
    <row r="21" spans="2:9" ht="15" customHeight="1" x14ac:dyDescent="0.2">
      <c r="E21" s="11">
        <f>LTBL_23214[[#Totals],[個人／事業所数]]/LTBL_23214[[#Totals],[総数／事業所数]]</f>
        <v>0.5423728813559322</v>
      </c>
      <c r="G21" s="11">
        <f>LTBL_23214[[#Totals],[法人／事業所数]]/LTBL_23214[[#Totals],[総数／事業所数]]</f>
        <v>0.44397363465160078</v>
      </c>
      <c r="I21" s="11">
        <f>LTBL_23214[[#Totals],[法人以外の団体／事業所数]]/LTBL_23214[[#Totals],[総数／事業所数]]</f>
        <v>5.6497175141242938E-3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197</v>
      </c>
      <c r="D24" s="8">
        <v>9.27</v>
      </c>
      <c r="E24" s="12">
        <v>170</v>
      </c>
      <c r="F24" s="8">
        <v>14.76</v>
      </c>
      <c r="G24" s="12">
        <v>27</v>
      </c>
      <c r="H24" s="8">
        <v>2.86</v>
      </c>
      <c r="I24" s="12">
        <v>0</v>
      </c>
    </row>
    <row r="25" spans="2:9" ht="15" customHeight="1" x14ac:dyDescent="0.2">
      <c r="B25" t="s">
        <v>111</v>
      </c>
      <c r="C25" s="12">
        <v>184</v>
      </c>
      <c r="D25" s="8">
        <v>8.66</v>
      </c>
      <c r="E25" s="12">
        <v>164</v>
      </c>
      <c r="F25" s="8">
        <v>14.24</v>
      </c>
      <c r="G25" s="12">
        <v>20</v>
      </c>
      <c r="H25" s="8">
        <v>2.12</v>
      </c>
      <c r="I25" s="12">
        <v>0</v>
      </c>
    </row>
    <row r="26" spans="2:9" ht="15" customHeight="1" x14ac:dyDescent="0.2">
      <c r="B26" t="s">
        <v>125</v>
      </c>
      <c r="C26" s="12">
        <v>180</v>
      </c>
      <c r="D26" s="8">
        <v>8.4700000000000006</v>
      </c>
      <c r="E26" s="12">
        <v>94</v>
      </c>
      <c r="F26" s="8">
        <v>8.16</v>
      </c>
      <c r="G26" s="12">
        <v>86</v>
      </c>
      <c r="H26" s="8">
        <v>9.1199999999999992</v>
      </c>
      <c r="I26" s="12">
        <v>0</v>
      </c>
    </row>
    <row r="27" spans="2:9" ht="15" customHeight="1" x14ac:dyDescent="0.2">
      <c r="B27" t="s">
        <v>107</v>
      </c>
      <c r="C27" s="12">
        <v>154</v>
      </c>
      <c r="D27" s="8">
        <v>7.25</v>
      </c>
      <c r="E27" s="12">
        <v>63</v>
      </c>
      <c r="F27" s="8">
        <v>5.47</v>
      </c>
      <c r="G27" s="12">
        <v>91</v>
      </c>
      <c r="H27" s="8">
        <v>9.65</v>
      </c>
      <c r="I27" s="12">
        <v>0</v>
      </c>
    </row>
    <row r="28" spans="2:9" ht="15" customHeight="1" x14ac:dyDescent="0.2">
      <c r="B28" t="s">
        <v>105</v>
      </c>
      <c r="C28" s="12">
        <v>140</v>
      </c>
      <c r="D28" s="8">
        <v>6.59</v>
      </c>
      <c r="E28" s="12">
        <v>88</v>
      </c>
      <c r="F28" s="8">
        <v>7.64</v>
      </c>
      <c r="G28" s="12">
        <v>52</v>
      </c>
      <c r="H28" s="8">
        <v>5.51</v>
      </c>
      <c r="I28" s="12">
        <v>0</v>
      </c>
    </row>
    <row r="29" spans="2:9" ht="15" customHeight="1" x14ac:dyDescent="0.2">
      <c r="B29" t="s">
        <v>103</v>
      </c>
      <c r="C29" s="12">
        <v>104</v>
      </c>
      <c r="D29" s="8">
        <v>4.9000000000000004</v>
      </c>
      <c r="E29" s="12">
        <v>74</v>
      </c>
      <c r="F29" s="8">
        <v>6.42</v>
      </c>
      <c r="G29" s="12">
        <v>30</v>
      </c>
      <c r="H29" s="8">
        <v>3.18</v>
      </c>
      <c r="I29" s="12">
        <v>0</v>
      </c>
    </row>
    <row r="30" spans="2:9" ht="15" customHeight="1" x14ac:dyDescent="0.2">
      <c r="B30" t="s">
        <v>94</v>
      </c>
      <c r="C30" s="12">
        <v>99</v>
      </c>
      <c r="D30" s="8">
        <v>4.66</v>
      </c>
      <c r="E30" s="12">
        <v>23</v>
      </c>
      <c r="F30" s="8">
        <v>2</v>
      </c>
      <c r="G30" s="12">
        <v>76</v>
      </c>
      <c r="H30" s="8">
        <v>8.06</v>
      </c>
      <c r="I30" s="12">
        <v>0</v>
      </c>
    </row>
    <row r="31" spans="2:9" ht="15" customHeight="1" x14ac:dyDescent="0.2">
      <c r="B31" t="s">
        <v>95</v>
      </c>
      <c r="C31" s="12">
        <v>84</v>
      </c>
      <c r="D31" s="8">
        <v>3.95</v>
      </c>
      <c r="E31" s="12">
        <v>41</v>
      </c>
      <c r="F31" s="8">
        <v>3.56</v>
      </c>
      <c r="G31" s="12">
        <v>43</v>
      </c>
      <c r="H31" s="8">
        <v>4.5599999999999996</v>
      </c>
      <c r="I31" s="12">
        <v>0</v>
      </c>
    </row>
    <row r="32" spans="2:9" ht="15" customHeight="1" x14ac:dyDescent="0.2">
      <c r="B32" t="s">
        <v>104</v>
      </c>
      <c r="C32" s="12">
        <v>83</v>
      </c>
      <c r="D32" s="8">
        <v>3.91</v>
      </c>
      <c r="E32" s="12">
        <v>52</v>
      </c>
      <c r="F32" s="8">
        <v>4.51</v>
      </c>
      <c r="G32" s="12">
        <v>31</v>
      </c>
      <c r="H32" s="8">
        <v>3.29</v>
      </c>
      <c r="I32" s="12">
        <v>0</v>
      </c>
    </row>
    <row r="33" spans="2:9" ht="15" customHeight="1" x14ac:dyDescent="0.2">
      <c r="B33" t="s">
        <v>112</v>
      </c>
      <c r="C33" s="12">
        <v>77</v>
      </c>
      <c r="D33" s="8">
        <v>3.63</v>
      </c>
      <c r="E33" s="12">
        <v>48</v>
      </c>
      <c r="F33" s="8">
        <v>4.17</v>
      </c>
      <c r="G33" s="12">
        <v>16</v>
      </c>
      <c r="H33" s="8">
        <v>1.7</v>
      </c>
      <c r="I33" s="12">
        <v>11</v>
      </c>
    </row>
    <row r="34" spans="2:9" ht="15" customHeight="1" x14ac:dyDescent="0.2">
      <c r="B34" t="s">
        <v>96</v>
      </c>
      <c r="C34" s="12">
        <v>57</v>
      </c>
      <c r="D34" s="8">
        <v>2.68</v>
      </c>
      <c r="E34" s="12">
        <v>13</v>
      </c>
      <c r="F34" s="8">
        <v>1.1299999999999999</v>
      </c>
      <c r="G34" s="12">
        <v>44</v>
      </c>
      <c r="H34" s="8">
        <v>4.67</v>
      </c>
      <c r="I34" s="12">
        <v>0</v>
      </c>
    </row>
    <row r="35" spans="2:9" ht="15" customHeight="1" x14ac:dyDescent="0.2">
      <c r="B35" t="s">
        <v>113</v>
      </c>
      <c r="C35" s="12">
        <v>54</v>
      </c>
      <c r="D35" s="8">
        <v>2.54</v>
      </c>
      <c r="E35" s="12">
        <v>47</v>
      </c>
      <c r="F35" s="8">
        <v>4.08</v>
      </c>
      <c r="G35" s="12">
        <v>7</v>
      </c>
      <c r="H35" s="8">
        <v>0.74</v>
      </c>
      <c r="I35" s="12">
        <v>0</v>
      </c>
    </row>
    <row r="36" spans="2:9" ht="15" customHeight="1" x14ac:dyDescent="0.2">
      <c r="B36" t="s">
        <v>102</v>
      </c>
      <c r="C36" s="12">
        <v>52</v>
      </c>
      <c r="D36" s="8">
        <v>2.4500000000000002</v>
      </c>
      <c r="E36" s="12">
        <v>29</v>
      </c>
      <c r="F36" s="8">
        <v>2.52</v>
      </c>
      <c r="G36" s="12">
        <v>23</v>
      </c>
      <c r="H36" s="8">
        <v>2.44</v>
      </c>
      <c r="I36" s="12">
        <v>0</v>
      </c>
    </row>
    <row r="37" spans="2:9" ht="15" customHeight="1" x14ac:dyDescent="0.2">
      <c r="B37" t="s">
        <v>109</v>
      </c>
      <c r="C37" s="12">
        <v>42</v>
      </c>
      <c r="D37" s="8">
        <v>1.98</v>
      </c>
      <c r="E37" s="12">
        <v>21</v>
      </c>
      <c r="F37" s="8">
        <v>1.82</v>
      </c>
      <c r="G37" s="12">
        <v>21</v>
      </c>
      <c r="H37" s="8">
        <v>2.23</v>
      </c>
      <c r="I37" s="12">
        <v>0</v>
      </c>
    </row>
    <row r="38" spans="2:9" ht="15" customHeight="1" x14ac:dyDescent="0.2">
      <c r="B38" t="s">
        <v>108</v>
      </c>
      <c r="C38" s="12">
        <v>39</v>
      </c>
      <c r="D38" s="8">
        <v>1.84</v>
      </c>
      <c r="E38" s="12">
        <v>29</v>
      </c>
      <c r="F38" s="8">
        <v>2.52</v>
      </c>
      <c r="G38" s="12">
        <v>10</v>
      </c>
      <c r="H38" s="8">
        <v>1.06</v>
      </c>
      <c r="I38" s="12">
        <v>0</v>
      </c>
    </row>
    <row r="39" spans="2:9" ht="15" customHeight="1" x14ac:dyDescent="0.2">
      <c r="B39" t="s">
        <v>98</v>
      </c>
      <c r="C39" s="12">
        <v>33</v>
      </c>
      <c r="D39" s="8">
        <v>1.55</v>
      </c>
      <c r="E39" s="12">
        <v>12</v>
      </c>
      <c r="F39" s="8">
        <v>1.04</v>
      </c>
      <c r="G39" s="12">
        <v>21</v>
      </c>
      <c r="H39" s="8">
        <v>2.23</v>
      </c>
      <c r="I39" s="12">
        <v>0</v>
      </c>
    </row>
    <row r="40" spans="2:9" ht="15" customHeight="1" x14ac:dyDescent="0.2">
      <c r="B40" t="s">
        <v>118</v>
      </c>
      <c r="C40" s="12">
        <v>31</v>
      </c>
      <c r="D40" s="8">
        <v>1.46</v>
      </c>
      <c r="E40" s="12">
        <v>13</v>
      </c>
      <c r="F40" s="8">
        <v>1.1299999999999999</v>
      </c>
      <c r="G40" s="12">
        <v>18</v>
      </c>
      <c r="H40" s="8">
        <v>1.91</v>
      </c>
      <c r="I40" s="12">
        <v>0</v>
      </c>
    </row>
    <row r="41" spans="2:9" ht="15" customHeight="1" x14ac:dyDescent="0.2">
      <c r="B41" t="s">
        <v>97</v>
      </c>
      <c r="C41" s="12">
        <v>29</v>
      </c>
      <c r="D41" s="8">
        <v>1.37</v>
      </c>
      <c r="E41" s="12">
        <v>13</v>
      </c>
      <c r="F41" s="8">
        <v>1.1299999999999999</v>
      </c>
      <c r="G41" s="12">
        <v>16</v>
      </c>
      <c r="H41" s="8">
        <v>1.7</v>
      </c>
      <c r="I41" s="12">
        <v>0</v>
      </c>
    </row>
    <row r="42" spans="2:9" ht="15" customHeight="1" x14ac:dyDescent="0.2">
      <c r="B42" t="s">
        <v>124</v>
      </c>
      <c r="C42" s="12">
        <v>28</v>
      </c>
      <c r="D42" s="8">
        <v>1.32</v>
      </c>
      <c r="E42" s="12">
        <v>11</v>
      </c>
      <c r="F42" s="8">
        <v>0.95</v>
      </c>
      <c r="G42" s="12">
        <v>17</v>
      </c>
      <c r="H42" s="8">
        <v>1.8</v>
      </c>
      <c r="I42" s="12">
        <v>0</v>
      </c>
    </row>
    <row r="43" spans="2:9" ht="15" customHeight="1" x14ac:dyDescent="0.2">
      <c r="B43" t="s">
        <v>130</v>
      </c>
      <c r="C43" s="12">
        <v>27</v>
      </c>
      <c r="D43" s="8">
        <v>1.27</v>
      </c>
      <c r="E43" s="12">
        <v>2</v>
      </c>
      <c r="F43" s="8">
        <v>0.17</v>
      </c>
      <c r="G43" s="12">
        <v>25</v>
      </c>
      <c r="H43" s="8">
        <v>2.65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96</v>
      </c>
      <c r="D47" s="8">
        <v>4.5199999999999996</v>
      </c>
      <c r="E47" s="12">
        <v>53</v>
      </c>
      <c r="F47" s="8">
        <v>4.5999999999999996</v>
      </c>
      <c r="G47" s="12">
        <v>43</v>
      </c>
      <c r="H47" s="8">
        <v>4.5599999999999996</v>
      </c>
      <c r="I47" s="12">
        <v>0</v>
      </c>
    </row>
    <row r="48" spans="2:9" ht="15" customHeight="1" x14ac:dyDescent="0.2">
      <c r="B48" t="s">
        <v>168</v>
      </c>
      <c r="C48" s="12">
        <v>96</v>
      </c>
      <c r="D48" s="8">
        <v>4.5199999999999996</v>
      </c>
      <c r="E48" s="12">
        <v>88</v>
      </c>
      <c r="F48" s="8">
        <v>7.64</v>
      </c>
      <c r="G48" s="12">
        <v>8</v>
      </c>
      <c r="H48" s="8">
        <v>0.85</v>
      </c>
      <c r="I48" s="12">
        <v>0</v>
      </c>
    </row>
    <row r="49" spans="2:9" ht="15" customHeight="1" x14ac:dyDescent="0.2">
      <c r="B49" t="s">
        <v>212</v>
      </c>
      <c r="C49" s="12">
        <v>65</v>
      </c>
      <c r="D49" s="8">
        <v>3.06</v>
      </c>
      <c r="E49" s="12">
        <v>28</v>
      </c>
      <c r="F49" s="8">
        <v>2.4300000000000002</v>
      </c>
      <c r="G49" s="12">
        <v>37</v>
      </c>
      <c r="H49" s="8">
        <v>3.92</v>
      </c>
      <c r="I49" s="12">
        <v>0</v>
      </c>
    </row>
    <row r="50" spans="2:9" ht="15" customHeight="1" x14ac:dyDescent="0.2">
      <c r="B50" t="s">
        <v>213</v>
      </c>
      <c r="C50" s="12">
        <v>62</v>
      </c>
      <c r="D50" s="8">
        <v>2.92</v>
      </c>
      <c r="E50" s="12">
        <v>36</v>
      </c>
      <c r="F50" s="8">
        <v>3.13</v>
      </c>
      <c r="G50" s="12">
        <v>26</v>
      </c>
      <c r="H50" s="8">
        <v>2.76</v>
      </c>
      <c r="I50" s="12">
        <v>0</v>
      </c>
    </row>
    <row r="51" spans="2:9" ht="15" customHeight="1" x14ac:dyDescent="0.2">
      <c r="B51" t="s">
        <v>167</v>
      </c>
      <c r="C51" s="12">
        <v>58</v>
      </c>
      <c r="D51" s="8">
        <v>2.73</v>
      </c>
      <c r="E51" s="12">
        <v>53</v>
      </c>
      <c r="F51" s="8">
        <v>4.5999999999999996</v>
      </c>
      <c r="G51" s="12">
        <v>5</v>
      </c>
      <c r="H51" s="8">
        <v>0.53</v>
      </c>
      <c r="I51" s="12">
        <v>0</v>
      </c>
    </row>
    <row r="52" spans="2:9" ht="15" customHeight="1" x14ac:dyDescent="0.2">
      <c r="B52" t="s">
        <v>165</v>
      </c>
      <c r="C52" s="12">
        <v>50</v>
      </c>
      <c r="D52" s="8">
        <v>2.35</v>
      </c>
      <c r="E52" s="12">
        <v>46</v>
      </c>
      <c r="F52" s="8">
        <v>3.99</v>
      </c>
      <c r="G52" s="12">
        <v>4</v>
      </c>
      <c r="H52" s="8">
        <v>0.42</v>
      </c>
      <c r="I52" s="12">
        <v>0</v>
      </c>
    </row>
    <row r="53" spans="2:9" ht="15" customHeight="1" x14ac:dyDescent="0.2">
      <c r="B53" t="s">
        <v>163</v>
      </c>
      <c r="C53" s="12">
        <v>47</v>
      </c>
      <c r="D53" s="8">
        <v>2.21</v>
      </c>
      <c r="E53" s="12">
        <v>34</v>
      </c>
      <c r="F53" s="8">
        <v>2.95</v>
      </c>
      <c r="G53" s="12">
        <v>13</v>
      </c>
      <c r="H53" s="8">
        <v>1.38</v>
      </c>
      <c r="I53" s="12">
        <v>0</v>
      </c>
    </row>
    <row r="54" spans="2:9" ht="15" customHeight="1" x14ac:dyDescent="0.2">
      <c r="B54" t="s">
        <v>170</v>
      </c>
      <c r="C54" s="12">
        <v>44</v>
      </c>
      <c r="D54" s="8">
        <v>2.0699999999999998</v>
      </c>
      <c r="E54" s="12">
        <v>35</v>
      </c>
      <c r="F54" s="8">
        <v>3.04</v>
      </c>
      <c r="G54" s="12">
        <v>9</v>
      </c>
      <c r="H54" s="8">
        <v>0.95</v>
      </c>
      <c r="I54" s="12">
        <v>0</v>
      </c>
    </row>
    <row r="55" spans="2:9" ht="15" customHeight="1" x14ac:dyDescent="0.2">
      <c r="B55" t="s">
        <v>164</v>
      </c>
      <c r="C55" s="12">
        <v>40</v>
      </c>
      <c r="D55" s="8">
        <v>1.88</v>
      </c>
      <c r="E55" s="12">
        <v>39</v>
      </c>
      <c r="F55" s="8">
        <v>3.39</v>
      </c>
      <c r="G55" s="12">
        <v>1</v>
      </c>
      <c r="H55" s="8">
        <v>0.11</v>
      </c>
      <c r="I55" s="12">
        <v>0</v>
      </c>
    </row>
    <row r="56" spans="2:9" ht="15" customHeight="1" x14ac:dyDescent="0.2">
      <c r="B56" t="s">
        <v>156</v>
      </c>
      <c r="C56" s="12">
        <v>38</v>
      </c>
      <c r="D56" s="8">
        <v>1.79</v>
      </c>
      <c r="E56" s="12">
        <v>21</v>
      </c>
      <c r="F56" s="8">
        <v>1.82</v>
      </c>
      <c r="G56" s="12">
        <v>17</v>
      </c>
      <c r="H56" s="8">
        <v>1.8</v>
      </c>
      <c r="I56" s="12">
        <v>0</v>
      </c>
    </row>
    <row r="57" spans="2:9" ht="15" customHeight="1" x14ac:dyDescent="0.2">
      <c r="B57" t="s">
        <v>158</v>
      </c>
      <c r="C57" s="12">
        <v>37</v>
      </c>
      <c r="D57" s="8">
        <v>1.74</v>
      </c>
      <c r="E57" s="12">
        <v>25</v>
      </c>
      <c r="F57" s="8">
        <v>2.17</v>
      </c>
      <c r="G57" s="12">
        <v>12</v>
      </c>
      <c r="H57" s="8">
        <v>1.27</v>
      </c>
      <c r="I57" s="12">
        <v>0</v>
      </c>
    </row>
    <row r="58" spans="2:9" ht="15" customHeight="1" x14ac:dyDescent="0.2">
      <c r="B58" t="s">
        <v>171</v>
      </c>
      <c r="C58" s="12">
        <v>37</v>
      </c>
      <c r="D58" s="8">
        <v>1.74</v>
      </c>
      <c r="E58" s="12">
        <v>33</v>
      </c>
      <c r="F58" s="8">
        <v>2.86</v>
      </c>
      <c r="G58" s="12">
        <v>4</v>
      </c>
      <c r="H58" s="8">
        <v>0.42</v>
      </c>
      <c r="I58" s="12">
        <v>0</v>
      </c>
    </row>
    <row r="59" spans="2:9" ht="15" customHeight="1" x14ac:dyDescent="0.2">
      <c r="B59" t="s">
        <v>157</v>
      </c>
      <c r="C59" s="12">
        <v>36</v>
      </c>
      <c r="D59" s="8">
        <v>1.69</v>
      </c>
      <c r="E59" s="12">
        <v>24</v>
      </c>
      <c r="F59" s="8">
        <v>2.08</v>
      </c>
      <c r="G59" s="12">
        <v>12</v>
      </c>
      <c r="H59" s="8">
        <v>1.27</v>
      </c>
      <c r="I59" s="12">
        <v>0</v>
      </c>
    </row>
    <row r="60" spans="2:9" ht="15" customHeight="1" x14ac:dyDescent="0.2">
      <c r="B60" t="s">
        <v>152</v>
      </c>
      <c r="C60" s="12">
        <v>35</v>
      </c>
      <c r="D60" s="8">
        <v>1.65</v>
      </c>
      <c r="E60" s="12">
        <v>7</v>
      </c>
      <c r="F60" s="8">
        <v>0.61</v>
      </c>
      <c r="G60" s="12">
        <v>28</v>
      </c>
      <c r="H60" s="8">
        <v>2.97</v>
      </c>
      <c r="I60" s="12">
        <v>0</v>
      </c>
    </row>
    <row r="61" spans="2:9" ht="15" customHeight="1" x14ac:dyDescent="0.2">
      <c r="B61" t="s">
        <v>160</v>
      </c>
      <c r="C61" s="12">
        <v>34</v>
      </c>
      <c r="D61" s="8">
        <v>1.6</v>
      </c>
      <c r="E61" s="12">
        <v>1</v>
      </c>
      <c r="F61" s="8">
        <v>0.09</v>
      </c>
      <c r="G61" s="12">
        <v>33</v>
      </c>
      <c r="H61" s="8">
        <v>3.5</v>
      </c>
      <c r="I61" s="12">
        <v>0</v>
      </c>
    </row>
    <row r="62" spans="2:9" ht="15" customHeight="1" x14ac:dyDescent="0.2">
      <c r="B62" t="s">
        <v>198</v>
      </c>
      <c r="C62" s="12">
        <v>31</v>
      </c>
      <c r="D62" s="8">
        <v>1.46</v>
      </c>
      <c r="E62" s="12">
        <v>17</v>
      </c>
      <c r="F62" s="8">
        <v>1.48</v>
      </c>
      <c r="G62" s="12">
        <v>14</v>
      </c>
      <c r="H62" s="8">
        <v>1.48</v>
      </c>
      <c r="I62" s="12">
        <v>0</v>
      </c>
    </row>
    <row r="63" spans="2:9" ht="15" customHeight="1" x14ac:dyDescent="0.2">
      <c r="B63" t="s">
        <v>154</v>
      </c>
      <c r="C63" s="12">
        <v>29</v>
      </c>
      <c r="D63" s="8">
        <v>1.37</v>
      </c>
      <c r="E63" s="12">
        <v>6</v>
      </c>
      <c r="F63" s="8">
        <v>0.52</v>
      </c>
      <c r="G63" s="12">
        <v>23</v>
      </c>
      <c r="H63" s="8">
        <v>2.44</v>
      </c>
      <c r="I63" s="12">
        <v>0</v>
      </c>
    </row>
    <row r="64" spans="2:9" ht="15" customHeight="1" x14ac:dyDescent="0.2">
      <c r="B64" t="s">
        <v>153</v>
      </c>
      <c r="C64" s="12">
        <v>28</v>
      </c>
      <c r="D64" s="8">
        <v>1.32</v>
      </c>
      <c r="E64" s="12">
        <v>6</v>
      </c>
      <c r="F64" s="8">
        <v>0.52</v>
      </c>
      <c r="G64" s="12">
        <v>22</v>
      </c>
      <c r="H64" s="8">
        <v>2.33</v>
      </c>
      <c r="I64" s="12">
        <v>0</v>
      </c>
    </row>
    <row r="65" spans="2:9" ht="15" customHeight="1" x14ac:dyDescent="0.2">
      <c r="B65" t="s">
        <v>206</v>
      </c>
      <c r="C65" s="12">
        <v>28</v>
      </c>
      <c r="D65" s="8">
        <v>1.32</v>
      </c>
      <c r="E65" s="12">
        <v>16</v>
      </c>
      <c r="F65" s="8">
        <v>1.39</v>
      </c>
      <c r="G65" s="12">
        <v>12</v>
      </c>
      <c r="H65" s="8">
        <v>1.27</v>
      </c>
      <c r="I65" s="12">
        <v>0</v>
      </c>
    </row>
    <row r="66" spans="2:9" ht="15" customHeight="1" x14ac:dyDescent="0.2">
      <c r="B66" t="s">
        <v>210</v>
      </c>
      <c r="C66" s="12">
        <v>28</v>
      </c>
      <c r="D66" s="8">
        <v>1.32</v>
      </c>
      <c r="E66" s="12">
        <v>18</v>
      </c>
      <c r="F66" s="8">
        <v>1.56</v>
      </c>
      <c r="G66" s="12">
        <v>10</v>
      </c>
      <c r="H66" s="8">
        <v>1.06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7D81-FA0A-4B74-975E-4BA1554DAD1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312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191</v>
      </c>
      <c r="D6" s="8">
        <v>13.64</v>
      </c>
      <c r="E6" s="12">
        <v>54</v>
      </c>
      <c r="F6" s="8">
        <v>7.74</v>
      </c>
      <c r="G6" s="12">
        <v>137</v>
      </c>
      <c r="H6" s="8">
        <v>20</v>
      </c>
      <c r="I6" s="12">
        <v>0</v>
      </c>
    </row>
    <row r="7" spans="2:9" ht="15" customHeight="1" x14ac:dyDescent="0.2">
      <c r="B7" t="s">
        <v>73</v>
      </c>
      <c r="C7" s="12">
        <v>193</v>
      </c>
      <c r="D7" s="8">
        <v>13.79</v>
      </c>
      <c r="E7" s="12">
        <v>63</v>
      </c>
      <c r="F7" s="8">
        <v>9.0299999999999994</v>
      </c>
      <c r="G7" s="12">
        <v>130</v>
      </c>
      <c r="H7" s="8">
        <v>18.98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2">
      <c r="B9" t="s">
        <v>75</v>
      </c>
      <c r="C9" s="12">
        <v>12</v>
      </c>
      <c r="D9" s="8">
        <v>0.86</v>
      </c>
      <c r="E9" s="12">
        <v>1</v>
      </c>
      <c r="F9" s="8">
        <v>0.14000000000000001</v>
      </c>
      <c r="G9" s="12">
        <v>11</v>
      </c>
      <c r="H9" s="8">
        <v>1.61</v>
      </c>
      <c r="I9" s="12">
        <v>0</v>
      </c>
    </row>
    <row r="10" spans="2:9" ht="15" customHeight="1" x14ac:dyDescent="0.2">
      <c r="B10" t="s">
        <v>76</v>
      </c>
      <c r="C10" s="12">
        <v>15</v>
      </c>
      <c r="D10" s="8">
        <v>1.07</v>
      </c>
      <c r="E10" s="12">
        <v>3</v>
      </c>
      <c r="F10" s="8">
        <v>0.43</v>
      </c>
      <c r="G10" s="12">
        <v>12</v>
      </c>
      <c r="H10" s="8">
        <v>1.75</v>
      </c>
      <c r="I10" s="12">
        <v>0</v>
      </c>
    </row>
    <row r="11" spans="2:9" ht="15" customHeight="1" x14ac:dyDescent="0.2">
      <c r="B11" t="s">
        <v>77</v>
      </c>
      <c r="C11" s="12">
        <v>279</v>
      </c>
      <c r="D11" s="8">
        <v>19.93</v>
      </c>
      <c r="E11" s="12">
        <v>133</v>
      </c>
      <c r="F11" s="8">
        <v>19.05</v>
      </c>
      <c r="G11" s="12">
        <v>146</v>
      </c>
      <c r="H11" s="8">
        <v>21.31</v>
      </c>
      <c r="I11" s="12">
        <v>0</v>
      </c>
    </row>
    <row r="12" spans="2:9" ht="15" customHeight="1" x14ac:dyDescent="0.2">
      <c r="B12" t="s">
        <v>78</v>
      </c>
      <c r="C12" s="12">
        <v>14</v>
      </c>
      <c r="D12" s="8">
        <v>1</v>
      </c>
      <c r="E12" s="12">
        <v>1</v>
      </c>
      <c r="F12" s="8">
        <v>0.14000000000000001</v>
      </c>
      <c r="G12" s="12">
        <v>13</v>
      </c>
      <c r="H12" s="8">
        <v>1.9</v>
      </c>
      <c r="I12" s="12">
        <v>0</v>
      </c>
    </row>
    <row r="13" spans="2:9" ht="15" customHeight="1" x14ac:dyDescent="0.2">
      <c r="B13" t="s">
        <v>79</v>
      </c>
      <c r="C13" s="12">
        <v>81</v>
      </c>
      <c r="D13" s="8">
        <v>5.79</v>
      </c>
      <c r="E13" s="12">
        <v>22</v>
      </c>
      <c r="F13" s="8">
        <v>3.15</v>
      </c>
      <c r="G13" s="12">
        <v>59</v>
      </c>
      <c r="H13" s="8">
        <v>8.61</v>
      </c>
      <c r="I13" s="12">
        <v>0</v>
      </c>
    </row>
    <row r="14" spans="2:9" ht="15" customHeight="1" x14ac:dyDescent="0.2">
      <c r="B14" t="s">
        <v>80</v>
      </c>
      <c r="C14" s="12">
        <v>81</v>
      </c>
      <c r="D14" s="8">
        <v>5.79</v>
      </c>
      <c r="E14" s="12">
        <v>50</v>
      </c>
      <c r="F14" s="8">
        <v>7.16</v>
      </c>
      <c r="G14" s="12">
        <v>31</v>
      </c>
      <c r="H14" s="8">
        <v>4.53</v>
      </c>
      <c r="I14" s="12">
        <v>0</v>
      </c>
    </row>
    <row r="15" spans="2:9" ht="15" customHeight="1" x14ac:dyDescent="0.2">
      <c r="B15" t="s">
        <v>81</v>
      </c>
      <c r="C15" s="12">
        <v>185</v>
      </c>
      <c r="D15" s="8">
        <v>13.21</v>
      </c>
      <c r="E15" s="12">
        <v>140</v>
      </c>
      <c r="F15" s="8">
        <v>20.059999999999999</v>
      </c>
      <c r="G15" s="12">
        <v>43</v>
      </c>
      <c r="H15" s="8">
        <v>6.28</v>
      </c>
      <c r="I15" s="12">
        <v>1</v>
      </c>
    </row>
    <row r="16" spans="2:9" ht="15" customHeight="1" x14ac:dyDescent="0.2">
      <c r="B16" t="s">
        <v>82</v>
      </c>
      <c r="C16" s="12">
        <v>150</v>
      </c>
      <c r="D16" s="8">
        <v>10.71</v>
      </c>
      <c r="E16" s="12">
        <v>114</v>
      </c>
      <c r="F16" s="8">
        <v>16.329999999999998</v>
      </c>
      <c r="G16" s="12">
        <v>34</v>
      </c>
      <c r="H16" s="8">
        <v>4.96</v>
      </c>
      <c r="I16" s="12">
        <v>1</v>
      </c>
    </row>
    <row r="17" spans="2:9" ht="15" customHeight="1" x14ac:dyDescent="0.2">
      <c r="B17" t="s">
        <v>83</v>
      </c>
      <c r="C17" s="12">
        <v>75</v>
      </c>
      <c r="D17" s="8">
        <v>5.36</v>
      </c>
      <c r="E17" s="12">
        <v>50</v>
      </c>
      <c r="F17" s="8">
        <v>7.16</v>
      </c>
      <c r="G17" s="12">
        <v>22</v>
      </c>
      <c r="H17" s="8">
        <v>3.21</v>
      </c>
      <c r="I17" s="12">
        <v>0</v>
      </c>
    </row>
    <row r="18" spans="2:9" ht="15" customHeight="1" x14ac:dyDescent="0.2">
      <c r="B18" t="s">
        <v>84</v>
      </c>
      <c r="C18" s="12">
        <v>74</v>
      </c>
      <c r="D18" s="8">
        <v>5.29</v>
      </c>
      <c r="E18" s="12">
        <v>47</v>
      </c>
      <c r="F18" s="8">
        <v>6.73</v>
      </c>
      <c r="G18" s="12">
        <v>21</v>
      </c>
      <c r="H18" s="8">
        <v>3.07</v>
      </c>
      <c r="I18" s="12">
        <v>0</v>
      </c>
    </row>
    <row r="19" spans="2:9" ht="15" customHeight="1" x14ac:dyDescent="0.2">
      <c r="B19" t="s">
        <v>85</v>
      </c>
      <c r="C19" s="12">
        <v>49</v>
      </c>
      <c r="D19" s="8">
        <v>3.5</v>
      </c>
      <c r="E19" s="12">
        <v>20</v>
      </c>
      <c r="F19" s="8">
        <v>2.87</v>
      </c>
      <c r="G19" s="12">
        <v>25</v>
      </c>
      <c r="H19" s="8">
        <v>3.65</v>
      </c>
      <c r="I19" s="12">
        <v>3</v>
      </c>
    </row>
    <row r="20" spans="2:9" ht="15" customHeight="1" x14ac:dyDescent="0.2">
      <c r="B20" s="9" t="s">
        <v>277</v>
      </c>
      <c r="C20" s="12">
        <f>SUM(LTBL_23215[総数／事業所数])</f>
        <v>1400</v>
      </c>
      <c r="E20" s="12">
        <f>SUBTOTAL(109,LTBL_23215[個人／事業所数])</f>
        <v>698</v>
      </c>
      <c r="G20" s="12">
        <f>SUBTOTAL(109,LTBL_23215[法人／事業所数])</f>
        <v>685</v>
      </c>
      <c r="I20" s="12">
        <f>SUBTOTAL(109,LTBL_23215[法人以外の団体／事業所数])</f>
        <v>5</v>
      </c>
    </row>
    <row r="21" spans="2:9" ht="15" customHeight="1" x14ac:dyDescent="0.2">
      <c r="E21" s="11">
        <f>LTBL_23215[[#Totals],[個人／事業所数]]/LTBL_23215[[#Totals],[総数／事業所数]]</f>
        <v>0.49857142857142855</v>
      </c>
      <c r="G21" s="11">
        <f>LTBL_23215[[#Totals],[法人／事業所数]]/LTBL_23215[[#Totals],[総数／事業所数]]</f>
        <v>0.48928571428571427</v>
      </c>
      <c r="I21" s="11">
        <f>LTBL_23215[[#Totals],[法人以外の団体／事業所数]]/LTBL_23215[[#Totals],[総数／事業所数]]</f>
        <v>3.5714285714285713E-3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160</v>
      </c>
      <c r="D24" s="8">
        <v>11.43</v>
      </c>
      <c r="E24" s="12">
        <v>133</v>
      </c>
      <c r="F24" s="8">
        <v>19.05</v>
      </c>
      <c r="G24" s="12">
        <v>26</v>
      </c>
      <c r="H24" s="8">
        <v>3.8</v>
      </c>
      <c r="I24" s="12">
        <v>1</v>
      </c>
    </row>
    <row r="25" spans="2:9" ht="15" customHeight="1" x14ac:dyDescent="0.2">
      <c r="B25" t="s">
        <v>111</v>
      </c>
      <c r="C25" s="12">
        <v>123</v>
      </c>
      <c r="D25" s="8">
        <v>8.7899999999999991</v>
      </c>
      <c r="E25" s="12">
        <v>101</v>
      </c>
      <c r="F25" s="8">
        <v>14.47</v>
      </c>
      <c r="G25" s="12">
        <v>22</v>
      </c>
      <c r="H25" s="8">
        <v>3.21</v>
      </c>
      <c r="I25" s="12">
        <v>0</v>
      </c>
    </row>
    <row r="26" spans="2:9" ht="15" customHeight="1" x14ac:dyDescent="0.2">
      <c r="B26" t="s">
        <v>105</v>
      </c>
      <c r="C26" s="12">
        <v>86</v>
      </c>
      <c r="D26" s="8">
        <v>6.14</v>
      </c>
      <c r="E26" s="12">
        <v>44</v>
      </c>
      <c r="F26" s="8">
        <v>6.3</v>
      </c>
      <c r="G26" s="12">
        <v>42</v>
      </c>
      <c r="H26" s="8">
        <v>6.13</v>
      </c>
      <c r="I26" s="12">
        <v>0</v>
      </c>
    </row>
    <row r="27" spans="2:9" ht="15" customHeight="1" x14ac:dyDescent="0.2">
      <c r="B27" t="s">
        <v>112</v>
      </c>
      <c r="C27" s="12">
        <v>75</v>
      </c>
      <c r="D27" s="8">
        <v>5.36</v>
      </c>
      <c r="E27" s="12">
        <v>50</v>
      </c>
      <c r="F27" s="8">
        <v>7.16</v>
      </c>
      <c r="G27" s="12">
        <v>22</v>
      </c>
      <c r="H27" s="8">
        <v>3.21</v>
      </c>
      <c r="I27" s="12">
        <v>0</v>
      </c>
    </row>
    <row r="28" spans="2:9" ht="15" customHeight="1" x14ac:dyDescent="0.2">
      <c r="B28" t="s">
        <v>95</v>
      </c>
      <c r="C28" s="12">
        <v>71</v>
      </c>
      <c r="D28" s="8">
        <v>5.07</v>
      </c>
      <c r="E28" s="12">
        <v>29</v>
      </c>
      <c r="F28" s="8">
        <v>4.1500000000000004</v>
      </c>
      <c r="G28" s="12">
        <v>42</v>
      </c>
      <c r="H28" s="8">
        <v>6.13</v>
      </c>
      <c r="I28" s="12">
        <v>0</v>
      </c>
    </row>
    <row r="29" spans="2:9" ht="15" customHeight="1" x14ac:dyDescent="0.2">
      <c r="B29" t="s">
        <v>94</v>
      </c>
      <c r="C29" s="12">
        <v>65</v>
      </c>
      <c r="D29" s="8">
        <v>4.6399999999999997</v>
      </c>
      <c r="E29" s="12">
        <v>15</v>
      </c>
      <c r="F29" s="8">
        <v>2.15</v>
      </c>
      <c r="G29" s="12">
        <v>50</v>
      </c>
      <c r="H29" s="8">
        <v>7.3</v>
      </c>
      <c r="I29" s="12">
        <v>0</v>
      </c>
    </row>
    <row r="30" spans="2:9" ht="15" customHeight="1" x14ac:dyDescent="0.2">
      <c r="B30" t="s">
        <v>107</v>
      </c>
      <c r="C30" s="12">
        <v>63</v>
      </c>
      <c r="D30" s="8">
        <v>4.5</v>
      </c>
      <c r="E30" s="12">
        <v>18</v>
      </c>
      <c r="F30" s="8">
        <v>2.58</v>
      </c>
      <c r="G30" s="12">
        <v>45</v>
      </c>
      <c r="H30" s="8">
        <v>6.57</v>
      </c>
      <c r="I30" s="12">
        <v>0</v>
      </c>
    </row>
    <row r="31" spans="2:9" ht="15" customHeight="1" x14ac:dyDescent="0.2">
      <c r="B31" t="s">
        <v>96</v>
      </c>
      <c r="C31" s="12">
        <v>55</v>
      </c>
      <c r="D31" s="8">
        <v>3.93</v>
      </c>
      <c r="E31" s="12">
        <v>10</v>
      </c>
      <c r="F31" s="8">
        <v>1.43</v>
      </c>
      <c r="G31" s="12">
        <v>45</v>
      </c>
      <c r="H31" s="8">
        <v>6.57</v>
      </c>
      <c r="I31" s="12">
        <v>0</v>
      </c>
    </row>
    <row r="32" spans="2:9" ht="15" customHeight="1" x14ac:dyDescent="0.2">
      <c r="B32" t="s">
        <v>108</v>
      </c>
      <c r="C32" s="12">
        <v>51</v>
      </c>
      <c r="D32" s="8">
        <v>3.64</v>
      </c>
      <c r="E32" s="12">
        <v>37</v>
      </c>
      <c r="F32" s="8">
        <v>5.3</v>
      </c>
      <c r="G32" s="12">
        <v>14</v>
      </c>
      <c r="H32" s="8">
        <v>2.04</v>
      </c>
      <c r="I32" s="12">
        <v>0</v>
      </c>
    </row>
    <row r="33" spans="2:9" ht="15" customHeight="1" x14ac:dyDescent="0.2">
      <c r="B33" t="s">
        <v>113</v>
      </c>
      <c r="C33" s="12">
        <v>51</v>
      </c>
      <c r="D33" s="8">
        <v>3.64</v>
      </c>
      <c r="E33" s="12">
        <v>47</v>
      </c>
      <c r="F33" s="8">
        <v>6.73</v>
      </c>
      <c r="G33" s="12">
        <v>4</v>
      </c>
      <c r="H33" s="8">
        <v>0.57999999999999996</v>
      </c>
      <c r="I33" s="12">
        <v>0</v>
      </c>
    </row>
    <row r="34" spans="2:9" ht="15" customHeight="1" x14ac:dyDescent="0.2">
      <c r="B34" t="s">
        <v>103</v>
      </c>
      <c r="C34" s="12">
        <v>48</v>
      </c>
      <c r="D34" s="8">
        <v>3.43</v>
      </c>
      <c r="E34" s="12">
        <v>30</v>
      </c>
      <c r="F34" s="8">
        <v>4.3</v>
      </c>
      <c r="G34" s="12">
        <v>18</v>
      </c>
      <c r="H34" s="8">
        <v>2.63</v>
      </c>
      <c r="I34" s="12">
        <v>0</v>
      </c>
    </row>
    <row r="35" spans="2:9" ht="15" customHeight="1" x14ac:dyDescent="0.2">
      <c r="B35" t="s">
        <v>98</v>
      </c>
      <c r="C35" s="12">
        <v>40</v>
      </c>
      <c r="D35" s="8">
        <v>2.86</v>
      </c>
      <c r="E35" s="12">
        <v>11</v>
      </c>
      <c r="F35" s="8">
        <v>1.58</v>
      </c>
      <c r="G35" s="12">
        <v>29</v>
      </c>
      <c r="H35" s="8">
        <v>4.2300000000000004</v>
      </c>
      <c r="I35" s="12">
        <v>0</v>
      </c>
    </row>
    <row r="36" spans="2:9" ht="15" customHeight="1" x14ac:dyDescent="0.2">
      <c r="B36" t="s">
        <v>104</v>
      </c>
      <c r="C36" s="12">
        <v>37</v>
      </c>
      <c r="D36" s="8">
        <v>2.64</v>
      </c>
      <c r="E36" s="12">
        <v>23</v>
      </c>
      <c r="F36" s="8">
        <v>3.3</v>
      </c>
      <c r="G36" s="12">
        <v>14</v>
      </c>
      <c r="H36" s="8">
        <v>2.04</v>
      </c>
      <c r="I36" s="12">
        <v>0</v>
      </c>
    </row>
    <row r="37" spans="2:9" ht="15" customHeight="1" x14ac:dyDescent="0.2">
      <c r="B37" t="s">
        <v>97</v>
      </c>
      <c r="C37" s="12">
        <v>33</v>
      </c>
      <c r="D37" s="8">
        <v>2.36</v>
      </c>
      <c r="E37" s="12">
        <v>11</v>
      </c>
      <c r="F37" s="8">
        <v>1.58</v>
      </c>
      <c r="G37" s="12">
        <v>22</v>
      </c>
      <c r="H37" s="8">
        <v>3.21</v>
      </c>
      <c r="I37" s="12">
        <v>0</v>
      </c>
    </row>
    <row r="38" spans="2:9" ht="15" customHeight="1" x14ac:dyDescent="0.2">
      <c r="B38" t="s">
        <v>109</v>
      </c>
      <c r="C38" s="12">
        <v>30</v>
      </c>
      <c r="D38" s="8">
        <v>2.14</v>
      </c>
      <c r="E38" s="12">
        <v>13</v>
      </c>
      <c r="F38" s="8">
        <v>1.86</v>
      </c>
      <c r="G38" s="12">
        <v>17</v>
      </c>
      <c r="H38" s="8">
        <v>2.48</v>
      </c>
      <c r="I38" s="12">
        <v>0</v>
      </c>
    </row>
    <row r="39" spans="2:9" ht="15" customHeight="1" x14ac:dyDescent="0.2">
      <c r="B39" t="s">
        <v>102</v>
      </c>
      <c r="C39" s="12">
        <v>26</v>
      </c>
      <c r="D39" s="8">
        <v>1.86</v>
      </c>
      <c r="E39" s="12">
        <v>19</v>
      </c>
      <c r="F39" s="8">
        <v>2.72</v>
      </c>
      <c r="G39" s="12">
        <v>7</v>
      </c>
      <c r="H39" s="8">
        <v>1.02</v>
      </c>
      <c r="I39" s="12">
        <v>0</v>
      </c>
    </row>
    <row r="40" spans="2:9" ht="15" customHeight="1" x14ac:dyDescent="0.2">
      <c r="B40" t="s">
        <v>116</v>
      </c>
      <c r="C40" s="12">
        <v>23</v>
      </c>
      <c r="D40" s="8">
        <v>1.64</v>
      </c>
      <c r="E40" s="12">
        <v>0</v>
      </c>
      <c r="F40" s="8">
        <v>0</v>
      </c>
      <c r="G40" s="12">
        <v>17</v>
      </c>
      <c r="H40" s="8">
        <v>2.48</v>
      </c>
      <c r="I40" s="12">
        <v>0</v>
      </c>
    </row>
    <row r="41" spans="2:9" ht="15" customHeight="1" x14ac:dyDescent="0.2">
      <c r="B41" t="s">
        <v>114</v>
      </c>
      <c r="C41" s="12">
        <v>22</v>
      </c>
      <c r="D41" s="8">
        <v>1.57</v>
      </c>
      <c r="E41" s="12">
        <v>6</v>
      </c>
      <c r="F41" s="8">
        <v>0.86</v>
      </c>
      <c r="G41" s="12">
        <v>14</v>
      </c>
      <c r="H41" s="8">
        <v>2.04</v>
      </c>
      <c r="I41" s="12">
        <v>2</v>
      </c>
    </row>
    <row r="42" spans="2:9" ht="15" customHeight="1" x14ac:dyDescent="0.2">
      <c r="B42" t="s">
        <v>101</v>
      </c>
      <c r="C42" s="12">
        <v>21</v>
      </c>
      <c r="D42" s="8">
        <v>1.5</v>
      </c>
      <c r="E42" s="12">
        <v>4</v>
      </c>
      <c r="F42" s="8">
        <v>0.56999999999999995</v>
      </c>
      <c r="G42" s="12">
        <v>17</v>
      </c>
      <c r="H42" s="8">
        <v>2.48</v>
      </c>
      <c r="I42" s="12">
        <v>0</v>
      </c>
    </row>
    <row r="43" spans="2:9" ht="15" customHeight="1" x14ac:dyDescent="0.2">
      <c r="B43" t="s">
        <v>100</v>
      </c>
      <c r="C43" s="12">
        <v>20</v>
      </c>
      <c r="D43" s="8">
        <v>1.43</v>
      </c>
      <c r="E43" s="12">
        <v>3</v>
      </c>
      <c r="F43" s="8">
        <v>0.43</v>
      </c>
      <c r="G43" s="12">
        <v>17</v>
      </c>
      <c r="H43" s="8">
        <v>2.48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165</v>
      </c>
      <c r="C47" s="12">
        <v>68</v>
      </c>
      <c r="D47" s="8">
        <v>4.8600000000000003</v>
      </c>
      <c r="E47" s="12">
        <v>56</v>
      </c>
      <c r="F47" s="8">
        <v>8.02</v>
      </c>
      <c r="G47" s="12">
        <v>11</v>
      </c>
      <c r="H47" s="8">
        <v>1.61</v>
      </c>
      <c r="I47" s="12">
        <v>1</v>
      </c>
    </row>
    <row r="48" spans="2:9" ht="15" customHeight="1" x14ac:dyDescent="0.2">
      <c r="B48" t="s">
        <v>168</v>
      </c>
      <c r="C48" s="12">
        <v>58</v>
      </c>
      <c r="D48" s="8">
        <v>4.1399999999999997</v>
      </c>
      <c r="E48" s="12">
        <v>49</v>
      </c>
      <c r="F48" s="8">
        <v>7.02</v>
      </c>
      <c r="G48" s="12">
        <v>9</v>
      </c>
      <c r="H48" s="8">
        <v>1.31</v>
      </c>
      <c r="I48" s="12">
        <v>0</v>
      </c>
    </row>
    <row r="49" spans="2:9" ht="15" customHeight="1" x14ac:dyDescent="0.2">
      <c r="B49" t="s">
        <v>170</v>
      </c>
      <c r="C49" s="12">
        <v>48</v>
      </c>
      <c r="D49" s="8">
        <v>3.43</v>
      </c>
      <c r="E49" s="12">
        <v>37</v>
      </c>
      <c r="F49" s="8">
        <v>5.3</v>
      </c>
      <c r="G49" s="12">
        <v>11</v>
      </c>
      <c r="H49" s="8">
        <v>1.61</v>
      </c>
      <c r="I49" s="12">
        <v>0</v>
      </c>
    </row>
    <row r="50" spans="2:9" ht="15" customHeight="1" x14ac:dyDescent="0.2">
      <c r="B50" t="s">
        <v>167</v>
      </c>
      <c r="C50" s="12">
        <v>39</v>
      </c>
      <c r="D50" s="8">
        <v>2.79</v>
      </c>
      <c r="E50" s="12">
        <v>37</v>
      </c>
      <c r="F50" s="8">
        <v>5.3</v>
      </c>
      <c r="G50" s="12">
        <v>2</v>
      </c>
      <c r="H50" s="8">
        <v>0.28999999999999998</v>
      </c>
      <c r="I50" s="12">
        <v>0</v>
      </c>
    </row>
    <row r="51" spans="2:9" ht="15" customHeight="1" x14ac:dyDescent="0.2">
      <c r="B51" t="s">
        <v>171</v>
      </c>
      <c r="C51" s="12">
        <v>37</v>
      </c>
      <c r="D51" s="8">
        <v>2.64</v>
      </c>
      <c r="E51" s="12">
        <v>34</v>
      </c>
      <c r="F51" s="8">
        <v>4.87</v>
      </c>
      <c r="G51" s="12">
        <v>3</v>
      </c>
      <c r="H51" s="8">
        <v>0.44</v>
      </c>
      <c r="I51" s="12">
        <v>0</v>
      </c>
    </row>
    <row r="52" spans="2:9" ht="15" customHeight="1" x14ac:dyDescent="0.2">
      <c r="B52" t="s">
        <v>161</v>
      </c>
      <c r="C52" s="12">
        <v>33</v>
      </c>
      <c r="D52" s="8">
        <v>2.36</v>
      </c>
      <c r="E52" s="12">
        <v>14</v>
      </c>
      <c r="F52" s="8">
        <v>2.0099999999999998</v>
      </c>
      <c r="G52" s="12">
        <v>19</v>
      </c>
      <c r="H52" s="8">
        <v>2.77</v>
      </c>
      <c r="I52" s="12">
        <v>0</v>
      </c>
    </row>
    <row r="53" spans="2:9" ht="15" customHeight="1" x14ac:dyDescent="0.2">
      <c r="B53" t="s">
        <v>158</v>
      </c>
      <c r="C53" s="12">
        <v>31</v>
      </c>
      <c r="D53" s="8">
        <v>2.21</v>
      </c>
      <c r="E53" s="12">
        <v>19</v>
      </c>
      <c r="F53" s="8">
        <v>2.72</v>
      </c>
      <c r="G53" s="12">
        <v>12</v>
      </c>
      <c r="H53" s="8">
        <v>1.75</v>
      </c>
      <c r="I53" s="12">
        <v>0</v>
      </c>
    </row>
    <row r="54" spans="2:9" ht="15" customHeight="1" x14ac:dyDescent="0.2">
      <c r="B54" t="s">
        <v>163</v>
      </c>
      <c r="C54" s="12">
        <v>30</v>
      </c>
      <c r="D54" s="8">
        <v>2.14</v>
      </c>
      <c r="E54" s="12">
        <v>24</v>
      </c>
      <c r="F54" s="8">
        <v>3.44</v>
      </c>
      <c r="G54" s="12">
        <v>6</v>
      </c>
      <c r="H54" s="8">
        <v>0.88</v>
      </c>
      <c r="I54" s="12">
        <v>0</v>
      </c>
    </row>
    <row r="55" spans="2:9" ht="15" customHeight="1" x14ac:dyDescent="0.2">
      <c r="B55" t="s">
        <v>154</v>
      </c>
      <c r="C55" s="12">
        <v>29</v>
      </c>
      <c r="D55" s="8">
        <v>2.0699999999999998</v>
      </c>
      <c r="E55" s="12">
        <v>5</v>
      </c>
      <c r="F55" s="8">
        <v>0.72</v>
      </c>
      <c r="G55" s="12">
        <v>24</v>
      </c>
      <c r="H55" s="8">
        <v>3.5</v>
      </c>
      <c r="I55" s="12">
        <v>0</v>
      </c>
    </row>
    <row r="56" spans="2:9" ht="15" customHeight="1" x14ac:dyDescent="0.2">
      <c r="B56" t="s">
        <v>152</v>
      </c>
      <c r="C56" s="12">
        <v>24</v>
      </c>
      <c r="D56" s="8">
        <v>1.71</v>
      </c>
      <c r="E56" s="12">
        <v>5</v>
      </c>
      <c r="F56" s="8">
        <v>0.72</v>
      </c>
      <c r="G56" s="12">
        <v>19</v>
      </c>
      <c r="H56" s="8">
        <v>2.77</v>
      </c>
      <c r="I56" s="12">
        <v>0</v>
      </c>
    </row>
    <row r="57" spans="2:9" ht="15" customHeight="1" x14ac:dyDescent="0.2">
      <c r="B57" t="s">
        <v>164</v>
      </c>
      <c r="C57" s="12">
        <v>22</v>
      </c>
      <c r="D57" s="8">
        <v>1.57</v>
      </c>
      <c r="E57" s="12">
        <v>21</v>
      </c>
      <c r="F57" s="8">
        <v>3.01</v>
      </c>
      <c r="G57" s="12">
        <v>1</v>
      </c>
      <c r="H57" s="8">
        <v>0.15</v>
      </c>
      <c r="I57" s="12">
        <v>0</v>
      </c>
    </row>
    <row r="58" spans="2:9" ht="15" customHeight="1" x14ac:dyDescent="0.2">
      <c r="B58" t="s">
        <v>156</v>
      </c>
      <c r="C58" s="12">
        <v>21</v>
      </c>
      <c r="D58" s="8">
        <v>1.5</v>
      </c>
      <c r="E58" s="12">
        <v>14</v>
      </c>
      <c r="F58" s="8">
        <v>2.0099999999999998</v>
      </c>
      <c r="G58" s="12">
        <v>7</v>
      </c>
      <c r="H58" s="8">
        <v>1.02</v>
      </c>
      <c r="I58" s="12">
        <v>0</v>
      </c>
    </row>
    <row r="59" spans="2:9" ht="15" customHeight="1" x14ac:dyDescent="0.2">
      <c r="B59" t="s">
        <v>197</v>
      </c>
      <c r="C59" s="12">
        <v>20</v>
      </c>
      <c r="D59" s="8">
        <v>1.43</v>
      </c>
      <c r="E59" s="12">
        <v>5</v>
      </c>
      <c r="F59" s="8">
        <v>0.72</v>
      </c>
      <c r="G59" s="12">
        <v>15</v>
      </c>
      <c r="H59" s="8">
        <v>2.19</v>
      </c>
      <c r="I59" s="12">
        <v>0</v>
      </c>
    </row>
    <row r="60" spans="2:9" ht="15" customHeight="1" x14ac:dyDescent="0.2">
      <c r="B60" t="s">
        <v>186</v>
      </c>
      <c r="C60" s="12">
        <v>20</v>
      </c>
      <c r="D60" s="8">
        <v>1.43</v>
      </c>
      <c r="E60" s="12">
        <v>11</v>
      </c>
      <c r="F60" s="8">
        <v>1.58</v>
      </c>
      <c r="G60" s="12">
        <v>9</v>
      </c>
      <c r="H60" s="8">
        <v>1.31</v>
      </c>
      <c r="I60" s="12">
        <v>0</v>
      </c>
    </row>
    <row r="61" spans="2:9" ht="15" customHeight="1" x14ac:dyDescent="0.2">
      <c r="B61" t="s">
        <v>160</v>
      </c>
      <c r="C61" s="12">
        <v>20</v>
      </c>
      <c r="D61" s="8">
        <v>1.43</v>
      </c>
      <c r="E61" s="12">
        <v>2</v>
      </c>
      <c r="F61" s="8">
        <v>0.28999999999999998</v>
      </c>
      <c r="G61" s="12">
        <v>18</v>
      </c>
      <c r="H61" s="8">
        <v>2.63</v>
      </c>
      <c r="I61" s="12">
        <v>0</v>
      </c>
    </row>
    <row r="62" spans="2:9" ht="15" customHeight="1" x14ac:dyDescent="0.2">
      <c r="B62" t="s">
        <v>153</v>
      </c>
      <c r="C62" s="12">
        <v>19</v>
      </c>
      <c r="D62" s="8">
        <v>1.36</v>
      </c>
      <c r="E62" s="12">
        <v>3</v>
      </c>
      <c r="F62" s="8">
        <v>0.43</v>
      </c>
      <c r="G62" s="12">
        <v>16</v>
      </c>
      <c r="H62" s="8">
        <v>2.34</v>
      </c>
      <c r="I62" s="12">
        <v>0</v>
      </c>
    </row>
    <row r="63" spans="2:9" ht="15" customHeight="1" x14ac:dyDescent="0.2">
      <c r="B63" t="s">
        <v>155</v>
      </c>
      <c r="C63" s="12">
        <v>18</v>
      </c>
      <c r="D63" s="8">
        <v>1.29</v>
      </c>
      <c r="E63" s="12">
        <v>5</v>
      </c>
      <c r="F63" s="8">
        <v>0.72</v>
      </c>
      <c r="G63" s="12">
        <v>13</v>
      </c>
      <c r="H63" s="8">
        <v>1.9</v>
      </c>
      <c r="I63" s="12">
        <v>0</v>
      </c>
    </row>
    <row r="64" spans="2:9" ht="15" customHeight="1" x14ac:dyDescent="0.2">
      <c r="B64" t="s">
        <v>162</v>
      </c>
      <c r="C64" s="12">
        <v>18</v>
      </c>
      <c r="D64" s="8">
        <v>1.29</v>
      </c>
      <c r="E64" s="12">
        <v>8</v>
      </c>
      <c r="F64" s="8">
        <v>1.1499999999999999</v>
      </c>
      <c r="G64" s="12">
        <v>10</v>
      </c>
      <c r="H64" s="8">
        <v>1.46</v>
      </c>
      <c r="I64" s="12">
        <v>0</v>
      </c>
    </row>
    <row r="65" spans="2:9" ht="15" customHeight="1" x14ac:dyDescent="0.2">
      <c r="B65" t="s">
        <v>169</v>
      </c>
      <c r="C65" s="12">
        <v>18</v>
      </c>
      <c r="D65" s="8">
        <v>1.29</v>
      </c>
      <c r="E65" s="12">
        <v>13</v>
      </c>
      <c r="F65" s="8">
        <v>1.86</v>
      </c>
      <c r="G65" s="12">
        <v>5</v>
      </c>
      <c r="H65" s="8">
        <v>0.73</v>
      </c>
      <c r="I65" s="12">
        <v>0</v>
      </c>
    </row>
    <row r="66" spans="2:9" ht="15" customHeight="1" x14ac:dyDescent="0.2">
      <c r="B66" t="s">
        <v>173</v>
      </c>
      <c r="C66" s="12">
        <v>17</v>
      </c>
      <c r="D66" s="8">
        <v>1.21</v>
      </c>
      <c r="E66" s="12">
        <v>2</v>
      </c>
      <c r="F66" s="8">
        <v>0.28999999999999998</v>
      </c>
      <c r="G66" s="12">
        <v>15</v>
      </c>
      <c r="H66" s="8">
        <v>2.19</v>
      </c>
      <c r="I66" s="12">
        <v>0</v>
      </c>
    </row>
    <row r="67" spans="2:9" ht="15" customHeight="1" x14ac:dyDescent="0.2">
      <c r="B67" t="s">
        <v>210</v>
      </c>
      <c r="C67" s="12">
        <v>17</v>
      </c>
      <c r="D67" s="8">
        <v>1.21</v>
      </c>
      <c r="E67" s="12">
        <v>12</v>
      </c>
      <c r="F67" s="8">
        <v>1.72</v>
      </c>
      <c r="G67" s="12">
        <v>5</v>
      </c>
      <c r="H67" s="8">
        <v>0.73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4F612-F663-4CA1-8CAB-338DB7DB7BF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313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183</v>
      </c>
      <c r="D6" s="8">
        <v>12.72</v>
      </c>
      <c r="E6" s="12">
        <v>56</v>
      </c>
      <c r="F6" s="8">
        <v>7.46</v>
      </c>
      <c r="G6" s="12">
        <v>127</v>
      </c>
      <c r="H6" s="8">
        <v>18.7</v>
      </c>
      <c r="I6" s="12">
        <v>0</v>
      </c>
    </row>
    <row r="7" spans="2:9" ht="15" customHeight="1" x14ac:dyDescent="0.2">
      <c r="B7" t="s">
        <v>73</v>
      </c>
      <c r="C7" s="12">
        <v>217</v>
      </c>
      <c r="D7" s="8">
        <v>15.08</v>
      </c>
      <c r="E7" s="12">
        <v>97</v>
      </c>
      <c r="F7" s="8">
        <v>12.92</v>
      </c>
      <c r="G7" s="12">
        <v>120</v>
      </c>
      <c r="H7" s="8">
        <v>17.670000000000002</v>
      </c>
      <c r="I7" s="12">
        <v>0</v>
      </c>
    </row>
    <row r="8" spans="2:9" ht="15" customHeight="1" x14ac:dyDescent="0.2">
      <c r="B8" t="s">
        <v>74</v>
      </c>
      <c r="C8" s="12">
        <v>5</v>
      </c>
      <c r="D8" s="8">
        <v>0.35</v>
      </c>
      <c r="E8" s="12">
        <v>0</v>
      </c>
      <c r="F8" s="8">
        <v>0</v>
      </c>
      <c r="G8" s="12">
        <v>4</v>
      </c>
      <c r="H8" s="8">
        <v>0.59</v>
      </c>
      <c r="I8" s="12">
        <v>0</v>
      </c>
    </row>
    <row r="9" spans="2:9" ht="15" customHeight="1" x14ac:dyDescent="0.2">
      <c r="B9" t="s">
        <v>75</v>
      </c>
      <c r="C9" s="12">
        <v>20</v>
      </c>
      <c r="D9" s="8">
        <v>1.39</v>
      </c>
      <c r="E9" s="12">
        <v>2</v>
      </c>
      <c r="F9" s="8">
        <v>0.27</v>
      </c>
      <c r="G9" s="12">
        <v>18</v>
      </c>
      <c r="H9" s="8">
        <v>2.65</v>
      </c>
      <c r="I9" s="12">
        <v>0</v>
      </c>
    </row>
    <row r="10" spans="2:9" ht="15" customHeight="1" x14ac:dyDescent="0.2">
      <c r="B10" t="s">
        <v>76</v>
      </c>
      <c r="C10" s="12">
        <v>48</v>
      </c>
      <c r="D10" s="8">
        <v>3.34</v>
      </c>
      <c r="E10" s="12">
        <v>1</v>
      </c>
      <c r="F10" s="8">
        <v>0.13</v>
      </c>
      <c r="G10" s="12">
        <v>46</v>
      </c>
      <c r="H10" s="8">
        <v>6.77</v>
      </c>
      <c r="I10" s="12">
        <v>1</v>
      </c>
    </row>
    <row r="11" spans="2:9" ht="15" customHeight="1" x14ac:dyDescent="0.2">
      <c r="B11" t="s">
        <v>77</v>
      </c>
      <c r="C11" s="12">
        <v>339</v>
      </c>
      <c r="D11" s="8">
        <v>23.56</v>
      </c>
      <c r="E11" s="12">
        <v>175</v>
      </c>
      <c r="F11" s="8">
        <v>23.3</v>
      </c>
      <c r="G11" s="12">
        <v>164</v>
      </c>
      <c r="H11" s="8">
        <v>24.15</v>
      </c>
      <c r="I11" s="12">
        <v>0</v>
      </c>
    </row>
    <row r="12" spans="2:9" ht="15" customHeight="1" x14ac:dyDescent="0.2">
      <c r="B12" t="s">
        <v>78</v>
      </c>
      <c r="C12" s="12">
        <v>10</v>
      </c>
      <c r="D12" s="8">
        <v>0.69</v>
      </c>
      <c r="E12" s="12">
        <v>4</v>
      </c>
      <c r="F12" s="8">
        <v>0.53</v>
      </c>
      <c r="G12" s="12">
        <v>6</v>
      </c>
      <c r="H12" s="8">
        <v>0.88</v>
      </c>
      <c r="I12" s="12">
        <v>0</v>
      </c>
    </row>
    <row r="13" spans="2:9" ht="15" customHeight="1" x14ac:dyDescent="0.2">
      <c r="B13" t="s">
        <v>79</v>
      </c>
      <c r="C13" s="12">
        <v>83</v>
      </c>
      <c r="D13" s="8">
        <v>5.77</v>
      </c>
      <c r="E13" s="12">
        <v>37</v>
      </c>
      <c r="F13" s="8">
        <v>4.93</v>
      </c>
      <c r="G13" s="12">
        <v>46</v>
      </c>
      <c r="H13" s="8">
        <v>6.77</v>
      </c>
      <c r="I13" s="12">
        <v>0</v>
      </c>
    </row>
    <row r="14" spans="2:9" ht="15" customHeight="1" x14ac:dyDescent="0.2">
      <c r="B14" t="s">
        <v>80</v>
      </c>
      <c r="C14" s="12">
        <v>70</v>
      </c>
      <c r="D14" s="8">
        <v>4.8600000000000003</v>
      </c>
      <c r="E14" s="12">
        <v>50</v>
      </c>
      <c r="F14" s="8">
        <v>6.66</v>
      </c>
      <c r="G14" s="12">
        <v>20</v>
      </c>
      <c r="H14" s="8">
        <v>2.95</v>
      </c>
      <c r="I14" s="12">
        <v>0</v>
      </c>
    </row>
    <row r="15" spans="2:9" ht="15" customHeight="1" x14ac:dyDescent="0.2">
      <c r="B15" t="s">
        <v>81</v>
      </c>
      <c r="C15" s="12">
        <v>143</v>
      </c>
      <c r="D15" s="8">
        <v>9.94</v>
      </c>
      <c r="E15" s="12">
        <v>103</v>
      </c>
      <c r="F15" s="8">
        <v>13.72</v>
      </c>
      <c r="G15" s="12">
        <v>40</v>
      </c>
      <c r="H15" s="8">
        <v>5.89</v>
      </c>
      <c r="I15" s="12">
        <v>0</v>
      </c>
    </row>
    <row r="16" spans="2:9" ht="15" customHeight="1" x14ac:dyDescent="0.2">
      <c r="B16" t="s">
        <v>82</v>
      </c>
      <c r="C16" s="12">
        <v>158</v>
      </c>
      <c r="D16" s="8">
        <v>10.98</v>
      </c>
      <c r="E16" s="12">
        <v>127</v>
      </c>
      <c r="F16" s="8">
        <v>16.91</v>
      </c>
      <c r="G16" s="12">
        <v>31</v>
      </c>
      <c r="H16" s="8">
        <v>4.57</v>
      </c>
      <c r="I16" s="12">
        <v>0</v>
      </c>
    </row>
    <row r="17" spans="2:9" ht="15" customHeight="1" x14ac:dyDescent="0.2">
      <c r="B17" t="s">
        <v>83</v>
      </c>
      <c r="C17" s="12">
        <v>68</v>
      </c>
      <c r="D17" s="8">
        <v>4.7300000000000004</v>
      </c>
      <c r="E17" s="12">
        <v>57</v>
      </c>
      <c r="F17" s="8">
        <v>7.59</v>
      </c>
      <c r="G17" s="12">
        <v>11</v>
      </c>
      <c r="H17" s="8">
        <v>1.62</v>
      </c>
      <c r="I17" s="12">
        <v>0</v>
      </c>
    </row>
    <row r="18" spans="2:9" ht="15" customHeight="1" x14ac:dyDescent="0.2">
      <c r="B18" t="s">
        <v>84</v>
      </c>
      <c r="C18" s="12">
        <v>54</v>
      </c>
      <c r="D18" s="8">
        <v>3.75</v>
      </c>
      <c r="E18" s="12">
        <v>26</v>
      </c>
      <c r="F18" s="8">
        <v>3.46</v>
      </c>
      <c r="G18" s="12">
        <v>22</v>
      </c>
      <c r="H18" s="8">
        <v>3.24</v>
      </c>
      <c r="I18" s="12">
        <v>0</v>
      </c>
    </row>
    <row r="19" spans="2:9" ht="15" customHeight="1" x14ac:dyDescent="0.2">
      <c r="B19" t="s">
        <v>85</v>
      </c>
      <c r="C19" s="12">
        <v>41</v>
      </c>
      <c r="D19" s="8">
        <v>2.85</v>
      </c>
      <c r="E19" s="12">
        <v>16</v>
      </c>
      <c r="F19" s="8">
        <v>2.13</v>
      </c>
      <c r="G19" s="12">
        <v>24</v>
      </c>
      <c r="H19" s="8">
        <v>3.53</v>
      </c>
      <c r="I19" s="12">
        <v>1</v>
      </c>
    </row>
    <row r="20" spans="2:9" ht="15" customHeight="1" x14ac:dyDescent="0.2">
      <c r="B20" s="9" t="s">
        <v>277</v>
      </c>
      <c r="C20" s="12">
        <f>SUM(LTBL_23216[総数／事業所数])</f>
        <v>1439</v>
      </c>
      <c r="E20" s="12">
        <f>SUBTOTAL(109,LTBL_23216[個人／事業所数])</f>
        <v>751</v>
      </c>
      <c r="G20" s="12">
        <f>SUBTOTAL(109,LTBL_23216[法人／事業所数])</f>
        <v>679</v>
      </c>
      <c r="I20" s="12">
        <f>SUBTOTAL(109,LTBL_23216[法人以外の団体／事業所数])</f>
        <v>2</v>
      </c>
    </row>
    <row r="21" spans="2:9" ht="15" customHeight="1" x14ac:dyDescent="0.2">
      <c r="E21" s="11">
        <f>LTBL_23216[[#Totals],[個人／事業所数]]/LTBL_23216[[#Totals],[総数／事業所数]]</f>
        <v>0.52189020152883947</v>
      </c>
      <c r="G21" s="11">
        <f>LTBL_23216[[#Totals],[法人／事業所数]]/LTBL_23216[[#Totals],[総数／事業所数]]</f>
        <v>0.4718554551772064</v>
      </c>
      <c r="I21" s="11">
        <f>LTBL_23216[[#Totals],[法人以外の団体／事業所数]]/LTBL_23216[[#Totals],[総数／事業所数]]</f>
        <v>1.389854065323141E-3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131</v>
      </c>
      <c r="D24" s="8">
        <v>9.1</v>
      </c>
      <c r="E24" s="12">
        <v>118</v>
      </c>
      <c r="F24" s="8">
        <v>15.71</v>
      </c>
      <c r="G24" s="12">
        <v>13</v>
      </c>
      <c r="H24" s="8">
        <v>1.91</v>
      </c>
      <c r="I24" s="12">
        <v>0</v>
      </c>
    </row>
    <row r="25" spans="2:9" ht="15" customHeight="1" x14ac:dyDescent="0.2">
      <c r="B25" t="s">
        <v>110</v>
      </c>
      <c r="C25" s="12">
        <v>129</v>
      </c>
      <c r="D25" s="8">
        <v>8.9600000000000009</v>
      </c>
      <c r="E25" s="12">
        <v>98</v>
      </c>
      <c r="F25" s="8">
        <v>13.05</v>
      </c>
      <c r="G25" s="12">
        <v>31</v>
      </c>
      <c r="H25" s="8">
        <v>4.57</v>
      </c>
      <c r="I25" s="12">
        <v>0</v>
      </c>
    </row>
    <row r="26" spans="2:9" ht="15" customHeight="1" x14ac:dyDescent="0.2">
      <c r="B26" t="s">
        <v>126</v>
      </c>
      <c r="C26" s="12">
        <v>110</v>
      </c>
      <c r="D26" s="8">
        <v>7.64</v>
      </c>
      <c r="E26" s="12">
        <v>65</v>
      </c>
      <c r="F26" s="8">
        <v>8.66</v>
      </c>
      <c r="G26" s="12">
        <v>45</v>
      </c>
      <c r="H26" s="8">
        <v>6.63</v>
      </c>
      <c r="I26" s="12">
        <v>0</v>
      </c>
    </row>
    <row r="27" spans="2:9" ht="15" customHeight="1" x14ac:dyDescent="0.2">
      <c r="B27" t="s">
        <v>105</v>
      </c>
      <c r="C27" s="12">
        <v>106</v>
      </c>
      <c r="D27" s="8">
        <v>7.37</v>
      </c>
      <c r="E27" s="12">
        <v>64</v>
      </c>
      <c r="F27" s="8">
        <v>8.52</v>
      </c>
      <c r="G27" s="12">
        <v>42</v>
      </c>
      <c r="H27" s="8">
        <v>6.19</v>
      </c>
      <c r="I27" s="12">
        <v>0</v>
      </c>
    </row>
    <row r="28" spans="2:9" ht="15" customHeight="1" x14ac:dyDescent="0.2">
      <c r="B28" t="s">
        <v>94</v>
      </c>
      <c r="C28" s="12">
        <v>69</v>
      </c>
      <c r="D28" s="8">
        <v>4.79</v>
      </c>
      <c r="E28" s="12">
        <v>10</v>
      </c>
      <c r="F28" s="8">
        <v>1.33</v>
      </c>
      <c r="G28" s="12">
        <v>59</v>
      </c>
      <c r="H28" s="8">
        <v>8.69</v>
      </c>
      <c r="I28" s="12">
        <v>0</v>
      </c>
    </row>
    <row r="29" spans="2:9" ht="15" customHeight="1" x14ac:dyDescent="0.2">
      <c r="B29" t="s">
        <v>112</v>
      </c>
      <c r="C29" s="12">
        <v>68</v>
      </c>
      <c r="D29" s="8">
        <v>4.7300000000000004</v>
      </c>
      <c r="E29" s="12">
        <v>57</v>
      </c>
      <c r="F29" s="8">
        <v>7.59</v>
      </c>
      <c r="G29" s="12">
        <v>11</v>
      </c>
      <c r="H29" s="8">
        <v>1.62</v>
      </c>
      <c r="I29" s="12">
        <v>0</v>
      </c>
    </row>
    <row r="30" spans="2:9" ht="15" customHeight="1" x14ac:dyDescent="0.2">
      <c r="B30" t="s">
        <v>95</v>
      </c>
      <c r="C30" s="12">
        <v>65</v>
      </c>
      <c r="D30" s="8">
        <v>4.5199999999999996</v>
      </c>
      <c r="E30" s="12">
        <v>32</v>
      </c>
      <c r="F30" s="8">
        <v>4.26</v>
      </c>
      <c r="G30" s="12">
        <v>33</v>
      </c>
      <c r="H30" s="8">
        <v>4.8600000000000003</v>
      </c>
      <c r="I30" s="12">
        <v>0</v>
      </c>
    </row>
    <row r="31" spans="2:9" ht="15" customHeight="1" x14ac:dyDescent="0.2">
      <c r="B31" t="s">
        <v>103</v>
      </c>
      <c r="C31" s="12">
        <v>65</v>
      </c>
      <c r="D31" s="8">
        <v>4.5199999999999996</v>
      </c>
      <c r="E31" s="12">
        <v>38</v>
      </c>
      <c r="F31" s="8">
        <v>5.0599999999999996</v>
      </c>
      <c r="G31" s="12">
        <v>27</v>
      </c>
      <c r="H31" s="8">
        <v>3.98</v>
      </c>
      <c r="I31" s="12">
        <v>0</v>
      </c>
    </row>
    <row r="32" spans="2:9" ht="15" customHeight="1" x14ac:dyDescent="0.2">
      <c r="B32" t="s">
        <v>102</v>
      </c>
      <c r="C32" s="12">
        <v>64</v>
      </c>
      <c r="D32" s="8">
        <v>4.45</v>
      </c>
      <c r="E32" s="12">
        <v>29</v>
      </c>
      <c r="F32" s="8">
        <v>3.86</v>
      </c>
      <c r="G32" s="12">
        <v>35</v>
      </c>
      <c r="H32" s="8">
        <v>5.15</v>
      </c>
      <c r="I32" s="12">
        <v>0</v>
      </c>
    </row>
    <row r="33" spans="2:9" ht="15" customHeight="1" x14ac:dyDescent="0.2">
      <c r="B33" t="s">
        <v>107</v>
      </c>
      <c r="C33" s="12">
        <v>62</v>
      </c>
      <c r="D33" s="8">
        <v>4.3099999999999996</v>
      </c>
      <c r="E33" s="12">
        <v>29</v>
      </c>
      <c r="F33" s="8">
        <v>3.86</v>
      </c>
      <c r="G33" s="12">
        <v>33</v>
      </c>
      <c r="H33" s="8">
        <v>4.8600000000000003</v>
      </c>
      <c r="I33" s="12">
        <v>0</v>
      </c>
    </row>
    <row r="34" spans="2:9" ht="15" customHeight="1" x14ac:dyDescent="0.2">
      <c r="B34" t="s">
        <v>96</v>
      </c>
      <c r="C34" s="12">
        <v>49</v>
      </c>
      <c r="D34" s="8">
        <v>3.41</v>
      </c>
      <c r="E34" s="12">
        <v>14</v>
      </c>
      <c r="F34" s="8">
        <v>1.86</v>
      </c>
      <c r="G34" s="12">
        <v>35</v>
      </c>
      <c r="H34" s="8">
        <v>5.15</v>
      </c>
      <c r="I34" s="12">
        <v>0</v>
      </c>
    </row>
    <row r="35" spans="2:9" ht="15" customHeight="1" x14ac:dyDescent="0.2">
      <c r="B35" t="s">
        <v>108</v>
      </c>
      <c r="C35" s="12">
        <v>40</v>
      </c>
      <c r="D35" s="8">
        <v>2.78</v>
      </c>
      <c r="E35" s="12">
        <v>35</v>
      </c>
      <c r="F35" s="8">
        <v>4.66</v>
      </c>
      <c r="G35" s="12">
        <v>5</v>
      </c>
      <c r="H35" s="8">
        <v>0.74</v>
      </c>
      <c r="I35" s="12">
        <v>0</v>
      </c>
    </row>
    <row r="36" spans="2:9" ht="15" customHeight="1" x14ac:dyDescent="0.2">
      <c r="B36" t="s">
        <v>101</v>
      </c>
      <c r="C36" s="12">
        <v>35</v>
      </c>
      <c r="D36" s="8">
        <v>2.4300000000000002</v>
      </c>
      <c r="E36" s="12">
        <v>12</v>
      </c>
      <c r="F36" s="8">
        <v>1.6</v>
      </c>
      <c r="G36" s="12">
        <v>23</v>
      </c>
      <c r="H36" s="8">
        <v>3.39</v>
      </c>
      <c r="I36" s="12">
        <v>0</v>
      </c>
    </row>
    <row r="37" spans="2:9" ht="15" customHeight="1" x14ac:dyDescent="0.2">
      <c r="B37" t="s">
        <v>104</v>
      </c>
      <c r="C37" s="12">
        <v>32</v>
      </c>
      <c r="D37" s="8">
        <v>2.2200000000000002</v>
      </c>
      <c r="E37" s="12">
        <v>20</v>
      </c>
      <c r="F37" s="8">
        <v>2.66</v>
      </c>
      <c r="G37" s="12">
        <v>12</v>
      </c>
      <c r="H37" s="8">
        <v>1.77</v>
      </c>
      <c r="I37" s="12">
        <v>0</v>
      </c>
    </row>
    <row r="38" spans="2:9" ht="15" customHeight="1" x14ac:dyDescent="0.2">
      <c r="B38" t="s">
        <v>113</v>
      </c>
      <c r="C38" s="12">
        <v>31</v>
      </c>
      <c r="D38" s="8">
        <v>2.15</v>
      </c>
      <c r="E38" s="12">
        <v>26</v>
      </c>
      <c r="F38" s="8">
        <v>3.46</v>
      </c>
      <c r="G38" s="12">
        <v>5</v>
      </c>
      <c r="H38" s="8">
        <v>0.74</v>
      </c>
      <c r="I38" s="12">
        <v>0</v>
      </c>
    </row>
    <row r="39" spans="2:9" ht="15" customHeight="1" x14ac:dyDescent="0.2">
      <c r="B39" t="s">
        <v>109</v>
      </c>
      <c r="C39" s="12">
        <v>28</v>
      </c>
      <c r="D39" s="8">
        <v>1.95</v>
      </c>
      <c r="E39" s="12">
        <v>14</v>
      </c>
      <c r="F39" s="8">
        <v>1.86</v>
      </c>
      <c r="G39" s="12">
        <v>14</v>
      </c>
      <c r="H39" s="8">
        <v>2.06</v>
      </c>
      <c r="I39" s="12">
        <v>0</v>
      </c>
    </row>
    <row r="40" spans="2:9" ht="15" customHeight="1" x14ac:dyDescent="0.2">
      <c r="B40" t="s">
        <v>115</v>
      </c>
      <c r="C40" s="12">
        <v>23</v>
      </c>
      <c r="D40" s="8">
        <v>1.6</v>
      </c>
      <c r="E40" s="12">
        <v>8</v>
      </c>
      <c r="F40" s="8">
        <v>1.07</v>
      </c>
      <c r="G40" s="12">
        <v>15</v>
      </c>
      <c r="H40" s="8">
        <v>2.21</v>
      </c>
      <c r="I40" s="12">
        <v>0</v>
      </c>
    </row>
    <row r="41" spans="2:9" ht="15" customHeight="1" x14ac:dyDescent="0.2">
      <c r="B41" t="s">
        <v>116</v>
      </c>
      <c r="C41" s="12">
        <v>23</v>
      </c>
      <c r="D41" s="8">
        <v>1.6</v>
      </c>
      <c r="E41" s="12">
        <v>0</v>
      </c>
      <c r="F41" s="8">
        <v>0</v>
      </c>
      <c r="G41" s="12">
        <v>17</v>
      </c>
      <c r="H41" s="8">
        <v>2.5</v>
      </c>
      <c r="I41" s="12">
        <v>0</v>
      </c>
    </row>
    <row r="42" spans="2:9" ht="15" customHeight="1" x14ac:dyDescent="0.2">
      <c r="B42" t="s">
        <v>123</v>
      </c>
      <c r="C42" s="12">
        <v>17</v>
      </c>
      <c r="D42" s="8">
        <v>1.18</v>
      </c>
      <c r="E42" s="12">
        <v>0</v>
      </c>
      <c r="F42" s="8">
        <v>0</v>
      </c>
      <c r="G42" s="12">
        <v>16</v>
      </c>
      <c r="H42" s="8">
        <v>2.36</v>
      </c>
      <c r="I42" s="12">
        <v>1</v>
      </c>
    </row>
    <row r="43" spans="2:9" ht="15" customHeight="1" x14ac:dyDescent="0.2">
      <c r="B43" t="s">
        <v>122</v>
      </c>
      <c r="C43" s="12">
        <v>16</v>
      </c>
      <c r="D43" s="8">
        <v>1.1100000000000001</v>
      </c>
      <c r="E43" s="12">
        <v>12</v>
      </c>
      <c r="F43" s="8">
        <v>1.6</v>
      </c>
      <c r="G43" s="12">
        <v>4</v>
      </c>
      <c r="H43" s="8">
        <v>0.59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207</v>
      </c>
      <c r="C47" s="12">
        <v>98</v>
      </c>
      <c r="D47" s="8">
        <v>6.81</v>
      </c>
      <c r="E47" s="12">
        <v>64</v>
      </c>
      <c r="F47" s="8">
        <v>8.52</v>
      </c>
      <c r="G47" s="12">
        <v>34</v>
      </c>
      <c r="H47" s="8">
        <v>5.01</v>
      </c>
      <c r="I47" s="12">
        <v>0</v>
      </c>
    </row>
    <row r="48" spans="2:9" ht="15" customHeight="1" x14ac:dyDescent="0.2">
      <c r="B48" t="s">
        <v>168</v>
      </c>
      <c r="C48" s="12">
        <v>58</v>
      </c>
      <c r="D48" s="8">
        <v>4.03</v>
      </c>
      <c r="E48" s="12">
        <v>54</v>
      </c>
      <c r="F48" s="8">
        <v>7.19</v>
      </c>
      <c r="G48" s="12">
        <v>4</v>
      </c>
      <c r="H48" s="8">
        <v>0.59</v>
      </c>
      <c r="I48" s="12">
        <v>0</v>
      </c>
    </row>
    <row r="49" spans="2:9" ht="15" customHeight="1" x14ac:dyDescent="0.2">
      <c r="B49" t="s">
        <v>170</v>
      </c>
      <c r="C49" s="12">
        <v>49</v>
      </c>
      <c r="D49" s="8">
        <v>3.41</v>
      </c>
      <c r="E49" s="12">
        <v>44</v>
      </c>
      <c r="F49" s="8">
        <v>5.86</v>
      </c>
      <c r="G49" s="12">
        <v>5</v>
      </c>
      <c r="H49" s="8">
        <v>0.74</v>
      </c>
      <c r="I49" s="12">
        <v>0</v>
      </c>
    </row>
    <row r="50" spans="2:9" ht="15" customHeight="1" x14ac:dyDescent="0.2">
      <c r="B50" t="s">
        <v>163</v>
      </c>
      <c r="C50" s="12">
        <v>38</v>
      </c>
      <c r="D50" s="8">
        <v>2.64</v>
      </c>
      <c r="E50" s="12">
        <v>26</v>
      </c>
      <c r="F50" s="8">
        <v>3.46</v>
      </c>
      <c r="G50" s="12">
        <v>12</v>
      </c>
      <c r="H50" s="8">
        <v>1.77</v>
      </c>
      <c r="I50" s="12">
        <v>0</v>
      </c>
    </row>
    <row r="51" spans="2:9" ht="15" customHeight="1" x14ac:dyDescent="0.2">
      <c r="B51" t="s">
        <v>165</v>
      </c>
      <c r="C51" s="12">
        <v>38</v>
      </c>
      <c r="D51" s="8">
        <v>2.64</v>
      </c>
      <c r="E51" s="12">
        <v>33</v>
      </c>
      <c r="F51" s="8">
        <v>4.3899999999999997</v>
      </c>
      <c r="G51" s="12">
        <v>5</v>
      </c>
      <c r="H51" s="8">
        <v>0.74</v>
      </c>
      <c r="I51" s="12">
        <v>0</v>
      </c>
    </row>
    <row r="52" spans="2:9" ht="15" customHeight="1" x14ac:dyDescent="0.2">
      <c r="B52" t="s">
        <v>167</v>
      </c>
      <c r="C52" s="12">
        <v>33</v>
      </c>
      <c r="D52" s="8">
        <v>2.29</v>
      </c>
      <c r="E52" s="12">
        <v>32</v>
      </c>
      <c r="F52" s="8">
        <v>4.26</v>
      </c>
      <c r="G52" s="12">
        <v>1</v>
      </c>
      <c r="H52" s="8">
        <v>0.15</v>
      </c>
      <c r="I52" s="12">
        <v>0</v>
      </c>
    </row>
    <row r="53" spans="2:9" ht="15" customHeight="1" x14ac:dyDescent="0.2">
      <c r="B53" t="s">
        <v>158</v>
      </c>
      <c r="C53" s="12">
        <v>32</v>
      </c>
      <c r="D53" s="8">
        <v>2.2200000000000002</v>
      </c>
      <c r="E53" s="12">
        <v>17</v>
      </c>
      <c r="F53" s="8">
        <v>2.2599999999999998</v>
      </c>
      <c r="G53" s="12">
        <v>15</v>
      </c>
      <c r="H53" s="8">
        <v>2.21</v>
      </c>
      <c r="I53" s="12">
        <v>0</v>
      </c>
    </row>
    <row r="54" spans="2:9" ht="15" customHeight="1" x14ac:dyDescent="0.2">
      <c r="B54" t="s">
        <v>161</v>
      </c>
      <c r="C54" s="12">
        <v>30</v>
      </c>
      <c r="D54" s="8">
        <v>2.08</v>
      </c>
      <c r="E54" s="12">
        <v>20</v>
      </c>
      <c r="F54" s="8">
        <v>2.66</v>
      </c>
      <c r="G54" s="12">
        <v>10</v>
      </c>
      <c r="H54" s="8">
        <v>1.47</v>
      </c>
      <c r="I54" s="12">
        <v>0</v>
      </c>
    </row>
    <row r="55" spans="2:9" ht="15" customHeight="1" x14ac:dyDescent="0.2">
      <c r="B55" t="s">
        <v>214</v>
      </c>
      <c r="C55" s="12">
        <v>28</v>
      </c>
      <c r="D55" s="8">
        <v>1.95</v>
      </c>
      <c r="E55" s="12">
        <v>20</v>
      </c>
      <c r="F55" s="8">
        <v>2.66</v>
      </c>
      <c r="G55" s="12">
        <v>8</v>
      </c>
      <c r="H55" s="8">
        <v>1.18</v>
      </c>
      <c r="I55" s="12">
        <v>0</v>
      </c>
    </row>
    <row r="56" spans="2:9" ht="15" customHeight="1" x14ac:dyDescent="0.2">
      <c r="B56" t="s">
        <v>152</v>
      </c>
      <c r="C56" s="12">
        <v>27</v>
      </c>
      <c r="D56" s="8">
        <v>1.88</v>
      </c>
      <c r="E56" s="12">
        <v>0</v>
      </c>
      <c r="F56" s="8">
        <v>0</v>
      </c>
      <c r="G56" s="12">
        <v>27</v>
      </c>
      <c r="H56" s="8">
        <v>3.98</v>
      </c>
      <c r="I56" s="12">
        <v>0</v>
      </c>
    </row>
    <row r="57" spans="2:9" ht="15" customHeight="1" x14ac:dyDescent="0.2">
      <c r="B57" t="s">
        <v>171</v>
      </c>
      <c r="C57" s="12">
        <v>26</v>
      </c>
      <c r="D57" s="8">
        <v>1.81</v>
      </c>
      <c r="E57" s="12">
        <v>22</v>
      </c>
      <c r="F57" s="8">
        <v>2.93</v>
      </c>
      <c r="G57" s="12">
        <v>4</v>
      </c>
      <c r="H57" s="8">
        <v>0.59</v>
      </c>
      <c r="I57" s="12">
        <v>0</v>
      </c>
    </row>
    <row r="58" spans="2:9" ht="15" customHeight="1" x14ac:dyDescent="0.2">
      <c r="B58" t="s">
        <v>154</v>
      </c>
      <c r="C58" s="12">
        <v>24</v>
      </c>
      <c r="D58" s="8">
        <v>1.67</v>
      </c>
      <c r="E58" s="12">
        <v>9</v>
      </c>
      <c r="F58" s="8">
        <v>1.2</v>
      </c>
      <c r="G58" s="12">
        <v>15</v>
      </c>
      <c r="H58" s="8">
        <v>2.21</v>
      </c>
      <c r="I58" s="12">
        <v>0</v>
      </c>
    </row>
    <row r="59" spans="2:9" ht="15" customHeight="1" x14ac:dyDescent="0.2">
      <c r="B59" t="s">
        <v>186</v>
      </c>
      <c r="C59" s="12">
        <v>24</v>
      </c>
      <c r="D59" s="8">
        <v>1.67</v>
      </c>
      <c r="E59" s="12">
        <v>12</v>
      </c>
      <c r="F59" s="8">
        <v>1.6</v>
      </c>
      <c r="G59" s="12">
        <v>12</v>
      </c>
      <c r="H59" s="8">
        <v>1.77</v>
      </c>
      <c r="I59" s="12">
        <v>0</v>
      </c>
    </row>
    <row r="60" spans="2:9" ht="15" customHeight="1" x14ac:dyDescent="0.2">
      <c r="B60" t="s">
        <v>191</v>
      </c>
      <c r="C60" s="12">
        <v>22</v>
      </c>
      <c r="D60" s="8">
        <v>1.53</v>
      </c>
      <c r="E60" s="12">
        <v>10</v>
      </c>
      <c r="F60" s="8">
        <v>1.33</v>
      </c>
      <c r="G60" s="12">
        <v>12</v>
      </c>
      <c r="H60" s="8">
        <v>1.77</v>
      </c>
      <c r="I60" s="12">
        <v>0</v>
      </c>
    </row>
    <row r="61" spans="2:9" ht="15" customHeight="1" x14ac:dyDescent="0.2">
      <c r="B61" t="s">
        <v>166</v>
      </c>
      <c r="C61" s="12">
        <v>22</v>
      </c>
      <c r="D61" s="8">
        <v>1.53</v>
      </c>
      <c r="E61" s="12">
        <v>20</v>
      </c>
      <c r="F61" s="8">
        <v>2.66</v>
      </c>
      <c r="G61" s="12">
        <v>2</v>
      </c>
      <c r="H61" s="8">
        <v>0.28999999999999998</v>
      </c>
      <c r="I61" s="12">
        <v>0</v>
      </c>
    </row>
    <row r="62" spans="2:9" ht="15" customHeight="1" x14ac:dyDescent="0.2">
      <c r="B62" t="s">
        <v>153</v>
      </c>
      <c r="C62" s="12">
        <v>20</v>
      </c>
      <c r="D62" s="8">
        <v>1.39</v>
      </c>
      <c r="E62" s="12">
        <v>3</v>
      </c>
      <c r="F62" s="8">
        <v>0.4</v>
      </c>
      <c r="G62" s="12">
        <v>17</v>
      </c>
      <c r="H62" s="8">
        <v>2.5</v>
      </c>
      <c r="I62" s="12">
        <v>0</v>
      </c>
    </row>
    <row r="63" spans="2:9" ht="15" customHeight="1" x14ac:dyDescent="0.2">
      <c r="B63" t="s">
        <v>155</v>
      </c>
      <c r="C63" s="12">
        <v>20</v>
      </c>
      <c r="D63" s="8">
        <v>1.39</v>
      </c>
      <c r="E63" s="12">
        <v>5</v>
      </c>
      <c r="F63" s="8">
        <v>0.67</v>
      </c>
      <c r="G63" s="12">
        <v>15</v>
      </c>
      <c r="H63" s="8">
        <v>2.21</v>
      </c>
      <c r="I63" s="12">
        <v>0</v>
      </c>
    </row>
    <row r="64" spans="2:9" ht="15" customHeight="1" x14ac:dyDescent="0.2">
      <c r="B64" t="s">
        <v>160</v>
      </c>
      <c r="C64" s="12">
        <v>19</v>
      </c>
      <c r="D64" s="8">
        <v>1.32</v>
      </c>
      <c r="E64" s="12">
        <v>1</v>
      </c>
      <c r="F64" s="8">
        <v>0.13</v>
      </c>
      <c r="G64" s="12">
        <v>18</v>
      </c>
      <c r="H64" s="8">
        <v>2.65</v>
      </c>
      <c r="I64" s="12">
        <v>0</v>
      </c>
    </row>
    <row r="65" spans="2:9" ht="15" customHeight="1" x14ac:dyDescent="0.2">
      <c r="B65" t="s">
        <v>179</v>
      </c>
      <c r="C65" s="12">
        <v>18</v>
      </c>
      <c r="D65" s="8">
        <v>1.25</v>
      </c>
      <c r="E65" s="12">
        <v>12</v>
      </c>
      <c r="F65" s="8">
        <v>1.6</v>
      </c>
      <c r="G65" s="12">
        <v>6</v>
      </c>
      <c r="H65" s="8">
        <v>0.88</v>
      </c>
      <c r="I65" s="12">
        <v>0</v>
      </c>
    </row>
    <row r="66" spans="2:9" ht="15" customHeight="1" x14ac:dyDescent="0.2">
      <c r="B66" t="s">
        <v>210</v>
      </c>
      <c r="C66" s="12">
        <v>17</v>
      </c>
      <c r="D66" s="8">
        <v>1.18</v>
      </c>
      <c r="E66" s="12">
        <v>9</v>
      </c>
      <c r="F66" s="8">
        <v>1.2</v>
      </c>
      <c r="G66" s="12">
        <v>8</v>
      </c>
      <c r="H66" s="8">
        <v>1.18</v>
      </c>
      <c r="I66" s="12">
        <v>0</v>
      </c>
    </row>
    <row r="67" spans="2:9" ht="15" customHeight="1" x14ac:dyDescent="0.2">
      <c r="B67" t="s">
        <v>157</v>
      </c>
      <c r="C67" s="12">
        <v>17</v>
      </c>
      <c r="D67" s="8">
        <v>1.18</v>
      </c>
      <c r="E67" s="12">
        <v>8</v>
      </c>
      <c r="F67" s="8">
        <v>1.07</v>
      </c>
      <c r="G67" s="12">
        <v>9</v>
      </c>
      <c r="H67" s="8">
        <v>1.33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53E0C-8FB4-4CE5-9C32-321E5616D27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314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259</v>
      </c>
      <c r="D6" s="8">
        <v>14.04</v>
      </c>
      <c r="E6" s="12">
        <v>78</v>
      </c>
      <c r="F6" s="8">
        <v>8.02</v>
      </c>
      <c r="G6" s="12">
        <v>181</v>
      </c>
      <c r="H6" s="8">
        <v>21.02</v>
      </c>
      <c r="I6" s="12">
        <v>0</v>
      </c>
    </row>
    <row r="7" spans="2:9" ht="15" customHeight="1" x14ac:dyDescent="0.2">
      <c r="B7" t="s">
        <v>73</v>
      </c>
      <c r="C7" s="12">
        <v>268</v>
      </c>
      <c r="D7" s="8">
        <v>14.53</v>
      </c>
      <c r="E7" s="12">
        <v>97</v>
      </c>
      <c r="F7" s="8">
        <v>9.98</v>
      </c>
      <c r="G7" s="12">
        <v>171</v>
      </c>
      <c r="H7" s="8">
        <v>19.86</v>
      </c>
      <c r="I7" s="12">
        <v>0</v>
      </c>
    </row>
    <row r="8" spans="2:9" ht="15" customHeight="1" x14ac:dyDescent="0.2">
      <c r="B8" t="s">
        <v>74</v>
      </c>
      <c r="C8" s="12">
        <v>5</v>
      </c>
      <c r="D8" s="8">
        <v>0.27</v>
      </c>
      <c r="E8" s="12">
        <v>0</v>
      </c>
      <c r="F8" s="8">
        <v>0</v>
      </c>
      <c r="G8" s="12">
        <v>5</v>
      </c>
      <c r="H8" s="8">
        <v>0.57999999999999996</v>
      </c>
      <c r="I8" s="12">
        <v>0</v>
      </c>
    </row>
    <row r="9" spans="2:9" ht="15" customHeight="1" x14ac:dyDescent="0.2">
      <c r="B9" t="s">
        <v>75</v>
      </c>
      <c r="C9" s="12">
        <v>11</v>
      </c>
      <c r="D9" s="8">
        <v>0.6</v>
      </c>
      <c r="E9" s="12">
        <v>2</v>
      </c>
      <c r="F9" s="8">
        <v>0.21</v>
      </c>
      <c r="G9" s="12">
        <v>9</v>
      </c>
      <c r="H9" s="8">
        <v>1.05</v>
      </c>
      <c r="I9" s="12">
        <v>0</v>
      </c>
    </row>
    <row r="10" spans="2:9" ht="15" customHeight="1" x14ac:dyDescent="0.2">
      <c r="B10" t="s">
        <v>76</v>
      </c>
      <c r="C10" s="12">
        <v>11</v>
      </c>
      <c r="D10" s="8">
        <v>0.6</v>
      </c>
      <c r="E10" s="12">
        <v>2</v>
      </c>
      <c r="F10" s="8">
        <v>0.21</v>
      </c>
      <c r="G10" s="12">
        <v>9</v>
      </c>
      <c r="H10" s="8">
        <v>1.05</v>
      </c>
      <c r="I10" s="12">
        <v>0</v>
      </c>
    </row>
    <row r="11" spans="2:9" ht="15" customHeight="1" x14ac:dyDescent="0.2">
      <c r="B11" t="s">
        <v>77</v>
      </c>
      <c r="C11" s="12">
        <v>354</v>
      </c>
      <c r="D11" s="8">
        <v>19.190000000000001</v>
      </c>
      <c r="E11" s="12">
        <v>162</v>
      </c>
      <c r="F11" s="8">
        <v>16.670000000000002</v>
      </c>
      <c r="G11" s="12">
        <v>192</v>
      </c>
      <c r="H11" s="8">
        <v>22.3</v>
      </c>
      <c r="I11" s="12">
        <v>0</v>
      </c>
    </row>
    <row r="12" spans="2:9" ht="15" customHeight="1" x14ac:dyDescent="0.2">
      <c r="B12" t="s">
        <v>78</v>
      </c>
      <c r="C12" s="12">
        <v>9</v>
      </c>
      <c r="D12" s="8">
        <v>0.49</v>
      </c>
      <c r="E12" s="12">
        <v>0</v>
      </c>
      <c r="F12" s="8">
        <v>0</v>
      </c>
      <c r="G12" s="12">
        <v>9</v>
      </c>
      <c r="H12" s="8">
        <v>1.05</v>
      </c>
      <c r="I12" s="12">
        <v>0</v>
      </c>
    </row>
    <row r="13" spans="2:9" ht="15" customHeight="1" x14ac:dyDescent="0.2">
      <c r="B13" t="s">
        <v>79</v>
      </c>
      <c r="C13" s="12">
        <v>113</v>
      </c>
      <c r="D13" s="8">
        <v>6.12</v>
      </c>
      <c r="E13" s="12">
        <v>24</v>
      </c>
      <c r="F13" s="8">
        <v>2.4700000000000002</v>
      </c>
      <c r="G13" s="12">
        <v>88</v>
      </c>
      <c r="H13" s="8">
        <v>10.220000000000001</v>
      </c>
      <c r="I13" s="12">
        <v>1</v>
      </c>
    </row>
    <row r="14" spans="2:9" ht="15" customHeight="1" x14ac:dyDescent="0.2">
      <c r="B14" t="s">
        <v>80</v>
      </c>
      <c r="C14" s="12">
        <v>90</v>
      </c>
      <c r="D14" s="8">
        <v>4.88</v>
      </c>
      <c r="E14" s="12">
        <v>53</v>
      </c>
      <c r="F14" s="8">
        <v>5.45</v>
      </c>
      <c r="G14" s="12">
        <v>37</v>
      </c>
      <c r="H14" s="8">
        <v>4.3</v>
      </c>
      <c r="I14" s="12">
        <v>0</v>
      </c>
    </row>
    <row r="15" spans="2:9" ht="15" customHeight="1" x14ac:dyDescent="0.2">
      <c r="B15" t="s">
        <v>81</v>
      </c>
      <c r="C15" s="12">
        <v>219</v>
      </c>
      <c r="D15" s="8">
        <v>11.87</v>
      </c>
      <c r="E15" s="12">
        <v>188</v>
      </c>
      <c r="F15" s="8">
        <v>19.34</v>
      </c>
      <c r="G15" s="12">
        <v>31</v>
      </c>
      <c r="H15" s="8">
        <v>3.6</v>
      </c>
      <c r="I15" s="12">
        <v>0</v>
      </c>
    </row>
    <row r="16" spans="2:9" ht="15" customHeight="1" x14ac:dyDescent="0.2">
      <c r="B16" t="s">
        <v>82</v>
      </c>
      <c r="C16" s="12">
        <v>239</v>
      </c>
      <c r="D16" s="8">
        <v>12.95</v>
      </c>
      <c r="E16" s="12">
        <v>186</v>
      </c>
      <c r="F16" s="8">
        <v>19.14</v>
      </c>
      <c r="G16" s="12">
        <v>52</v>
      </c>
      <c r="H16" s="8">
        <v>6.04</v>
      </c>
      <c r="I16" s="12">
        <v>0</v>
      </c>
    </row>
    <row r="17" spans="2:9" ht="15" customHeight="1" x14ac:dyDescent="0.2">
      <c r="B17" t="s">
        <v>83</v>
      </c>
      <c r="C17" s="12">
        <v>110</v>
      </c>
      <c r="D17" s="8">
        <v>5.96</v>
      </c>
      <c r="E17" s="12">
        <v>82</v>
      </c>
      <c r="F17" s="8">
        <v>8.44</v>
      </c>
      <c r="G17" s="12">
        <v>24</v>
      </c>
      <c r="H17" s="8">
        <v>2.79</v>
      </c>
      <c r="I17" s="12">
        <v>0</v>
      </c>
    </row>
    <row r="18" spans="2:9" ht="15" customHeight="1" x14ac:dyDescent="0.2">
      <c r="B18" t="s">
        <v>84</v>
      </c>
      <c r="C18" s="12">
        <v>100</v>
      </c>
      <c r="D18" s="8">
        <v>5.42</v>
      </c>
      <c r="E18" s="12">
        <v>76</v>
      </c>
      <c r="F18" s="8">
        <v>7.82</v>
      </c>
      <c r="G18" s="12">
        <v>18</v>
      </c>
      <c r="H18" s="8">
        <v>2.09</v>
      </c>
      <c r="I18" s="12">
        <v>0</v>
      </c>
    </row>
    <row r="19" spans="2:9" ht="15" customHeight="1" x14ac:dyDescent="0.2">
      <c r="B19" t="s">
        <v>85</v>
      </c>
      <c r="C19" s="12">
        <v>57</v>
      </c>
      <c r="D19" s="8">
        <v>3.09</v>
      </c>
      <c r="E19" s="12">
        <v>22</v>
      </c>
      <c r="F19" s="8">
        <v>2.2599999999999998</v>
      </c>
      <c r="G19" s="12">
        <v>35</v>
      </c>
      <c r="H19" s="8">
        <v>4.07</v>
      </c>
      <c r="I19" s="12">
        <v>0</v>
      </c>
    </row>
    <row r="20" spans="2:9" ht="15" customHeight="1" x14ac:dyDescent="0.2">
      <c r="B20" s="9" t="s">
        <v>277</v>
      </c>
      <c r="C20" s="12">
        <f>SUM(LTBL_23217[総数／事業所数])</f>
        <v>1845</v>
      </c>
      <c r="E20" s="12">
        <f>SUBTOTAL(109,LTBL_23217[個人／事業所数])</f>
        <v>972</v>
      </c>
      <c r="G20" s="12">
        <f>SUBTOTAL(109,LTBL_23217[法人／事業所数])</f>
        <v>861</v>
      </c>
      <c r="I20" s="12">
        <f>SUBTOTAL(109,LTBL_23217[法人以外の団体／事業所数])</f>
        <v>1</v>
      </c>
    </row>
    <row r="21" spans="2:9" ht="15" customHeight="1" x14ac:dyDescent="0.2">
      <c r="E21" s="11">
        <f>LTBL_23217[[#Totals],[個人／事業所数]]/LTBL_23217[[#Totals],[総数／事業所数]]</f>
        <v>0.52682926829268295</v>
      </c>
      <c r="G21" s="11">
        <f>LTBL_23217[[#Totals],[法人／事業所数]]/LTBL_23217[[#Totals],[総数／事業所数]]</f>
        <v>0.46666666666666667</v>
      </c>
      <c r="I21" s="11">
        <f>LTBL_23217[[#Totals],[法人以外の団体／事業所数]]/LTBL_23217[[#Totals],[総数／事業所数]]</f>
        <v>5.4200542005420054E-4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210</v>
      </c>
      <c r="D24" s="8">
        <v>11.38</v>
      </c>
      <c r="E24" s="12">
        <v>184</v>
      </c>
      <c r="F24" s="8">
        <v>18.93</v>
      </c>
      <c r="G24" s="12">
        <v>26</v>
      </c>
      <c r="H24" s="8">
        <v>3.02</v>
      </c>
      <c r="I24" s="12">
        <v>0</v>
      </c>
    </row>
    <row r="25" spans="2:9" ht="15" customHeight="1" x14ac:dyDescent="0.2">
      <c r="B25" t="s">
        <v>111</v>
      </c>
      <c r="C25" s="12">
        <v>192</v>
      </c>
      <c r="D25" s="8">
        <v>10.41</v>
      </c>
      <c r="E25" s="12">
        <v>159</v>
      </c>
      <c r="F25" s="8">
        <v>16.36</v>
      </c>
      <c r="G25" s="12">
        <v>33</v>
      </c>
      <c r="H25" s="8">
        <v>3.83</v>
      </c>
      <c r="I25" s="12">
        <v>0</v>
      </c>
    </row>
    <row r="26" spans="2:9" ht="15" customHeight="1" x14ac:dyDescent="0.2">
      <c r="B26" t="s">
        <v>112</v>
      </c>
      <c r="C26" s="12">
        <v>110</v>
      </c>
      <c r="D26" s="8">
        <v>5.96</v>
      </c>
      <c r="E26" s="12">
        <v>82</v>
      </c>
      <c r="F26" s="8">
        <v>8.44</v>
      </c>
      <c r="G26" s="12">
        <v>24</v>
      </c>
      <c r="H26" s="8">
        <v>2.79</v>
      </c>
      <c r="I26" s="12">
        <v>0</v>
      </c>
    </row>
    <row r="27" spans="2:9" ht="15" customHeight="1" x14ac:dyDescent="0.2">
      <c r="B27" t="s">
        <v>105</v>
      </c>
      <c r="C27" s="12">
        <v>109</v>
      </c>
      <c r="D27" s="8">
        <v>5.91</v>
      </c>
      <c r="E27" s="12">
        <v>57</v>
      </c>
      <c r="F27" s="8">
        <v>5.86</v>
      </c>
      <c r="G27" s="12">
        <v>52</v>
      </c>
      <c r="H27" s="8">
        <v>6.04</v>
      </c>
      <c r="I27" s="12">
        <v>0</v>
      </c>
    </row>
    <row r="28" spans="2:9" ht="15" customHeight="1" x14ac:dyDescent="0.2">
      <c r="B28" t="s">
        <v>94</v>
      </c>
      <c r="C28" s="12">
        <v>106</v>
      </c>
      <c r="D28" s="8">
        <v>5.75</v>
      </c>
      <c r="E28" s="12">
        <v>26</v>
      </c>
      <c r="F28" s="8">
        <v>2.67</v>
      </c>
      <c r="G28" s="12">
        <v>80</v>
      </c>
      <c r="H28" s="8">
        <v>9.2899999999999991</v>
      </c>
      <c r="I28" s="12">
        <v>0</v>
      </c>
    </row>
    <row r="29" spans="2:9" ht="15" customHeight="1" x14ac:dyDescent="0.2">
      <c r="B29" t="s">
        <v>95</v>
      </c>
      <c r="C29" s="12">
        <v>90</v>
      </c>
      <c r="D29" s="8">
        <v>4.88</v>
      </c>
      <c r="E29" s="12">
        <v>37</v>
      </c>
      <c r="F29" s="8">
        <v>3.81</v>
      </c>
      <c r="G29" s="12">
        <v>53</v>
      </c>
      <c r="H29" s="8">
        <v>6.16</v>
      </c>
      <c r="I29" s="12">
        <v>0</v>
      </c>
    </row>
    <row r="30" spans="2:9" ht="15" customHeight="1" x14ac:dyDescent="0.2">
      <c r="B30" t="s">
        <v>113</v>
      </c>
      <c r="C30" s="12">
        <v>88</v>
      </c>
      <c r="D30" s="8">
        <v>4.7699999999999996</v>
      </c>
      <c r="E30" s="12">
        <v>76</v>
      </c>
      <c r="F30" s="8">
        <v>7.82</v>
      </c>
      <c r="G30" s="12">
        <v>12</v>
      </c>
      <c r="H30" s="8">
        <v>1.39</v>
      </c>
      <c r="I30" s="12">
        <v>0</v>
      </c>
    </row>
    <row r="31" spans="2:9" ht="15" customHeight="1" x14ac:dyDescent="0.2">
      <c r="B31" t="s">
        <v>107</v>
      </c>
      <c r="C31" s="12">
        <v>82</v>
      </c>
      <c r="D31" s="8">
        <v>4.4400000000000004</v>
      </c>
      <c r="E31" s="12">
        <v>19</v>
      </c>
      <c r="F31" s="8">
        <v>1.95</v>
      </c>
      <c r="G31" s="12">
        <v>62</v>
      </c>
      <c r="H31" s="8">
        <v>7.2</v>
      </c>
      <c r="I31" s="12">
        <v>1</v>
      </c>
    </row>
    <row r="32" spans="2:9" ht="15" customHeight="1" x14ac:dyDescent="0.2">
      <c r="B32" t="s">
        <v>125</v>
      </c>
      <c r="C32" s="12">
        <v>71</v>
      </c>
      <c r="D32" s="8">
        <v>3.85</v>
      </c>
      <c r="E32" s="12">
        <v>40</v>
      </c>
      <c r="F32" s="8">
        <v>4.12</v>
      </c>
      <c r="G32" s="12">
        <v>31</v>
      </c>
      <c r="H32" s="8">
        <v>3.6</v>
      </c>
      <c r="I32" s="12">
        <v>0</v>
      </c>
    </row>
    <row r="33" spans="2:9" ht="15" customHeight="1" x14ac:dyDescent="0.2">
      <c r="B33" t="s">
        <v>96</v>
      </c>
      <c r="C33" s="12">
        <v>63</v>
      </c>
      <c r="D33" s="8">
        <v>3.41</v>
      </c>
      <c r="E33" s="12">
        <v>15</v>
      </c>
      <c r="F33" s="8">
        <v>1.54</v>
      </c>
      <c r="G33" s="12">
        <v>48</v>
      </c>
      <c r="H33" s="8">
        <v>5.57</v>
      </c>
      <c r="I33" s="12">
        <v>0</v>
      </c>
    </row>
    <row r="34" spans="2:9" ht="15" customHeight="1" x14ac:dyDescent="0.2">
      <c r="B34" t="s">
        <v>103</v>
      </c>
      <c r="C34" s="12">
        <v>61</v>
      </c>
      <c r="D34" s="8">
        <v>3.31</v>
      </c>
      <c r="E34" s="12">
        <v>44</v>
      </c>
      <c r="F34" s="8">
        <v>4.53</v>
      </c>
      <c r="G34" s="12">
        <v>17</v>
      </c>
      <c r="H34" s="8">
        <v>1.97</v>
      </c>
      <c r="I34" s="12">
        <v>0</v>
      </c>
    </row>
    <row r="35" spans="2:9" ht="15" customHeight="1" x14ac:dyDescent="0.2">
      <c r="B35" t="s">
        <v>104</v>
      </c>
      <c r="C35" s="12">
        <v>56</v>
      </c>
      <c r="D35" s="8">
        <v>3.04</v>
      </c>
      <c r="E35" s="12">
        <v>30</v>
      </c>
      <c r="F35" s="8">
        <v>3.09</v>
      </c>
      <c r="G35" s="12">
        <v>26</v>
      </c>
      <c r="H35" s="8">
        <v>3.02</v>
      </c>
      <c r="I35" s="12">
        <v>0</v>
      </c>
    </row>
    <row r="36" spans="2:9" ht="15" customHeight="1" x14ac:dyDescent="0.2">
      <c r="B36" t="s">
        <v>108</v>
      </c>
      <c r="C36" s="12">
        <v>47</v>
      </c>
      <c r="D36" s="8">
        <v>2.5499999999999998</v>
      </c>
      <c r="E36" s="12">
        <v>33</v>
      </c>
      <c r="F36" s="8">
        <v>3.4</v>
      </c>
      <c r="G36" s="12">
        <v>14</v>
      </c>
      <c r="H36" s="8">
        <v>1.63</v>
      </c>
      <c r="I36" s="12">
        <v>0</v>
      </c>
    </row>
    <row r="37" spans="2:9" ht="15" customHeight="1" x14ac:dyDescent="0.2">
      <c r="B37" t="s">
        <v>109</v>
      </c>
      <c r="C37" s="12">
        <v>42</v>
      </c>
      <c r="D37" s="8">
        <v>2.2799999999999998</v>
      </c>
      <c r="E37" s="12">
        <v>20</v>
      </c>
      <c r="F37" s="8">
        <v>2.06</v>
      </c>
      <c r="G37" s="12">
        <v>22</v>
      </c>
      <c r="H37" s="8">
        <v>2.56</v>
      </c>
      <c r="I37" s="12">
        <v>0</v>
      </c>
    </row>
    <row r="38" spans="2:9" ht="15" customHeight="1" x14ac:dyDescent="0.2">
      <c r="B38" t="s">
        <v>98</v>
      </c>
      <c r="C38" s="12">
        <v>41</v>
      </c>
      <c r="D38" s="8">
        <v>2.2200000000000002</v>
      </c>
      <c r="E38" s="12">
        <v>10</v>
      </c>
      <c r="F38" s="8">
        <v>1.03</v>
      </c>
      <c r="G38" s="12">
        <v>31</v>
      </c>
      <c r="H38" s="8">
        <v>3.6</v>
      </c>
      <c r="I38" s="12">
        <v>0</v>
      </c>
    </row>
    <row r="39" spans="2:9" ht="15" customHeight="1" x14ac:dyDescent="0.2">
      <c r="B39" t="s">
        <v>97</v>
      </c>
      <c r="C39" s="12">
        <v>39</v>
      </c>
      <c r="D39" s="8">
        <v>2.11</v>
      </c>
      <c r="E39" s="12">
        <v>16</v>
      </c>
      <c r="F39" s="8">
        <v>1.65</v>
      </c>
      <c r="G39" s="12">
        <v>23</v>
      </c>
      <c r="H39" s="8">
        <v>2.67</v>
      </c>
      <c r="I39" s="12">
        <v>0</v>
      </c>
    </row>
    <row r="40" spans="2:9" ht="15" customHeight="1" x14ac:dyDescent="0.2">
      <c r="B40" t="s">
        <v>102</v>
      </c>
      <c r="C40" s="12">
        <v>34</v>
      </c>
      <c r="D40" s="8">
        <v>1.84</v>
      </c>
      <c r="E40" s="12">
        <v>14</v>
      </c>
      <c r="F40" s="8">
        <v>1.44</v>
      </c>
      <c r="G40" s="12">
        <v>20</v>
      </c>
      <c r="H40" s="8">
        <v>2.3199999999999998</v>
      </c>
      <c r="I40" s="12">
        <v>0</v>
      </c>
    </row>
    <row r="41" spans="2:9" ht="15" customHeight="1" x14ac:dyDescent="0.2">
      <c r="B41" t="s">
        <v>115</v>
      </c>
      <c r="C41" s="12">
        <v>34</v>
      </c>
      <c r="D41" s="8">
        <v>1.84</v>
      </c>
      <c r="E41" s="12">
        <v>19</v>
      </c>
      <c r="F41" s="8">
        <v>1.95</v>
      </c>
      <c r="G41" s="12">
        <v>14</v>
      </c>
      <c r="H41" s="8">
        <v>1.63</v>
      </c>
      <c r="I41" s="12">
        <v>0</v>
      </c>
    </row>
    <row r="42" spans="2:9" ht="15" customHeight="1" x14ac:dyDescent="0.2">
      <c r="B42" t="s">
        <v>101</v>
      </c>
      <c r="C42" s="12">
        <v>26</v>
      </c>
      <c r="D42" s="8">
        <v>1.41</v>
      </c>
      <c r="E42" s="12">
        <v>5</v>
      </c>
      <c r="F42" s="8">
        <v>0.51</v>
      </c>
      <c r="G42" s="12">
        <v>21</v>
      </c>
      <c r="H42" s="8">
        <v>2.44</v>
      </c>
      <c r="I42" s="12">
        <v>0</v>
      </c>
    </row>
    <row r="43" spans="2:9" ht="15" customHeight="1" x14ac:dyDescent="0.2">
      <c r="B43" t="s">
        <v>106</v>
      </c>
      <c r="C43" s="12">
        <v>26</v>
      </c>
      <c r="D43" s="8">
        <v>1.41</v>
      </c>
      <c r="E43" s="12">
        <v>4</v>
      </c>
      <c r="F43" s="8">
        <v>0.41</v>
      </c>
      <c r="G43" s="12">
        <v>22</v>
      </c>
      <c r="H43" s="8">
        <v>2.56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93</v>
      </c>
      <c r="D47" s="8">
        <v>5.04</v>
      </c>
      <c r="E47" s="12">
        <v>82</v>
      </c>
      <c r="F47" s="8">
        <v>8.44</v>
      </c>
      <c r="G47" s="12">
        <v>11</v>
      </c>
      <c r="H47" s="8">
        <v>1.28</v>
      </c>
      <c r="I47" s="12">
        <v>0</v>
      </c>
    </row>
    <row r="48" spans="2:9" ht="15" customHeight="1" x14ac:dyDescent="0.2">
      <c r="B48" t="s">
        <v>165</v>
      </c>
      <c r="C48" s="12">
        <v>80</v>
      </c>
      <c r="D48" s="8">
        <v>4.34</v>
      </c>
      <c r="E48" s="12">
        <v>75</v>
      </c>
      <c r="F48" s="8">
        <v>7.72</v>
      </c>
      <c r="G48" s="12">
        <v>5</v>
      </c>
      <c r="H48" s="8">
        <v>0.57999999999999996</v>
      </c>
      <c r="I48" s="12">
        <v>0</v>
      </c>
    </row>
    <row r="49" spans="2:9" ht="15" customHeight="1" x14ac:dyDescent="0.2">
      <c r="B49" t="s">
        <v>171</v>
      </c>
      <c r="C49" s="12">
        <v>73</v>
      </c>
      <c r="D49" s="8">
        <v>3.96</v>
      </c>
      <c r="E49" s="12">
        <v>62</v>
      </c>
      <c r="F49" s="8">
        <v>6.38</v>
      </c>
      <c r="G49" s="12">
        <v>11</v>
      </c>
      <c r="H49" s="8">
        <v>1.28</v>
      </c>
      <c r="I49" s="12">
        <v>0</v>
      </c>
    </row>
    <row r="50" spans="2:9" ht="15" customHeight="1" x14ac:dyDescent="0.2">
      <c r="B50" t="s">
        <v>170</v>
      </c>
      <c r="C50" s="12">
        <v>66</v>
      </c>
      <c r="D50" s="8">
        <v>3.58</v>
      </c>
      <c r="E50" s="12">
        <v>54</v>
      </c>
      <c r="F50" s="8">
        <v>5.56</v>
      </c>
      <c r="G50" s="12">
        <v>12</v>
      </c>
      <c r="H50" s="8">
        <v>1.39</v>
      </c>
      <c r="I50" s="12">
        <v>0</v>
      </c>
    </row>
    <row r="51" spans="2:9" ht="15" customHeight="1" x14ac:dyDescent="0.2">
      <c r="B51" t="s">
        <v>167</v>
      </c>
      <c r="C51" s="12">
        <v>60</v>
      </c>
      <c r="D51" s="8">
        <v>3.25</v>
      </c>
      <c r="E51" s="12">
        <v>58</v>
      </c>
      <c r="F51" s="8">
        <v>5.97</v>
      </c>
      <c r="G51" s="12">
        <v>2</v>
      </c>
      <c r="H51" s="8">
        <v>0.23</v>
      </c>
      <c r="I51" s="12">
        <v>0</v>
      </c>
    </row>
    <row r="52" spans="2:9" ht="15" customHeight="1" x14ac:dyDescent="0.2">
      <c r="B52" t="s">
        <v>163</v>
      </c>
      <c r="C52" s="12">
        <v>50</v>
      </c>
      <c r="D52" s="8">
        <v>2.71</v>
      </c>
      <c r="E52" s="12">
        <v>37</v>
      </c>
      <c r="F52" s="8">
        <v>3.81</v>
      </c>
      <c r="G52" s="12">
        <v>13</v>
      </c>
      <c r="H52" s="8">
        <v>1.51</v>
      </c>
      <c r="I52" s="12">
        <v>0</v>
      </c>
    </row>
    <row r="53" spans="2:9" ht="15" customHeight="1" x14ac:dyDescent="0.2">
      <c r="B53" t="s">
        <v>169</v>
      </c>
      <c r="C53" s="12">
        <v>40</v>
      </c>
      <c r="D53" s="8">
        <v>2.17</v>
      </c>
      <c r="E53" s="12">
        <v>28</v>
      </c>
      <c r="F53" s="8">
        <v>2.88</v>
      </c>
      <c r="G53" s="12">
        <v>12</v>
      </c>
      <c r="H53" s="8">
        <v>1.39</v>
      </c>
      <c r="I53" s="12">
        <v>0</v>
      </c>
    </row>
    <row r="54" spans="2:9" ht="15" customHeight="1" x14ac:dyDescent="0.2">
      <c r="B54" t="s">
        <v>158</v>
      </c>
      <c r="C54" s="12">
        <v>36</v>
      </c>
      <c r="D54" s="8">
        <v>1.95</v>
      </c>
      <c r="E54" s="12">
        <v>21</v>
      </c>
      <c r="F54" s="8">
        <v>2.16</v>
      </c>
      <c r="G54" s="12">
        <v>15</v>
      </c>
      <c r="H54" s="8">
        <v>1.74</v>
      </c>
      <c r="I54" s="12">
        <v>0</v>
      </c>
    </row>
    <row r="55" spans="2:9" ht="15" customHeight="1" x14ac:dyDescent="0.2">
      <c r="B55" t="s">
        <v>164</v>
      </c>
      <c r="C55" s="12">
        <v>36</v>
      </c>
      <c r="D55" s="8">
        <v>1.95</v>
      </c>
      <c r="E55" s="12">
        <v>35</v>
      </c>
      <c r="F55" s="8">
        <v>3.6</v>
      </c>
      <c r="G55" s="12">
        <v>1</v>
      </c>
      <c r="H55" s="8">
        <v>0.12</v>
      </c>
      <c r="I55" s="12">
        <v>0</v>
      </c>
    </row>
    <row r="56" spans="2:9" ht="15" customHeight="1" x14ac:dyDescent="0.2">
      <c r="B56" t="s">
        <v>161</v>
      </c>
      <c r="C56" s="12">
        <v>35</v>
      </c>
      <c r="D56" s="8">
        <v>1.9</v>
      </c>
      <c r="E56" s="12">
        <v>14</v>
      </c>
      <c r="F56" s="8">
        <v>1.44</v>
      </c>
      <c r="G56" s="12">
        <v>21</v>
      </c>
      <c r="H56" s="8">
        <v>2.44</v>
      </c>
      <c r="I56" s="12">
        <v>0</v>
      </c>
    </row>
    <row r="57" spans="2:9" ht="15" customHeight="1" x14ac:dyDescent="0.2">
      <c r="B57" t="s">
        <v>215</v>
      </c>
      <c r="C57" s="12">
        <v>31</v>
      </c>
      <c r="D57" s="8">
        <v>1.68</v>
      </c>
      <c r="E57" s="12">
        <v>18</v>
      </c>
      <c r="F57" s="8">
        <v>1.85</v>
      </c>
      <c r="G57" s="12">
        <v>13</v>
      </c>
      <c r="H57" s="8">
        <v>1.51</v>
      </c>
      <c r="I57" s="12">
        <v>0</v>
      </c>
    </row>
    <row r="58" spans="2:9" ht="15" customHeight="1" x14ac:dyDescent="0.2">
      <c r="B58" t="s">
        <v>156</v>
      </c>
      <c r="C58" s="12">
        <v>31</v>
      </c>
      <c r="D58" s="8">
        <v>1.68</v>
      </c>
      <c r="E58" s="12">
        <v>14</v>
      </c>
      <c r="F58" s="8">
        <v>1.44</v>
      </c>
      <c r="G58" s="12">
        <v>17</v>
      </c>
      <c r="H58" s="8">
        <v>1.97</v>
      </c>
      <c r="I58" s="12">
        <v>0</v>
      </c>
    </row>
    <row r="59" spans="2:9" ht="15" customHeight="1" x14ac:dyDescent="0.2">
      <c r="B59" t="s">
        <v>162</v>
      </c>
      <c r="C59" s="12">
        <v>29</v>
      </c>
      <c r="D59" s="8">
        <v>1.57</v>
      </c>
      <c r="E59" s="12">
        <v>13</v>
      </c>
      <c r="F59" s="8">
        <v>1.34</v>
      </c>
      <c r="G59" s="12">
        <v>16</v>
      </c>
      <c r="H59" s="8">
        <v>1.86</v>
      </c>
      <c r="I59" s="12">
        <v>0</v>
      </c>
    </row>
    <row r="60" spans="2:9" ht="15" customHeight="1" x14ac:dyDescent="0.2">
      <c r="B60" t="s">
        <v>152</v>
      </c>
      <c r="C60" s="12">
        <v>28</v>
      </c>
      <c r="D60" s="8">
        <v>1.52</v>
      </c>
      <c r="E60" s="12">
        <v>3</v>
      </c>
      <c r="F60" s="8">
        <v>0.31</v>
      </c>
      <c r="G60" s="12">
        <v>25</v>
      </c>
      <c r="H60" s="8">
        <v>2.9</v>
      </c>
      <c r="I60" s="12">
        <v>0</v>
      </c>
    </row>
    <row r="61" spans="2:9" ht="15" customHeight="1" x14ac:dyDescent="0.2">
      <c r="B61" t="s">
        <v>205</v>
      </c>
      <c r="C61" s="12">
        <v>27</v>
      </c>
      <c r="D61" s="8">
        <v>1.46</v>
      </c>
      <c r="E61" s="12">
        <v>10</v>
      </c>
      <c r="F61" s="8">
        <v>1.03</v>
      </c>
      <c r="G61" s="12">
        <v>17</v>
      </c>
      <c r="H61" s="8">
        <v>1.97</v>
      </c>
      <c r="I61" s="12">
        <v>0</v>
      </c>
    </row>
    <row r="62" spans="2:9" ht="15" customHeight="1" x14ac:dyDescent="0.2">
      <c r="B62" t="s">
        <v>154</v>
      </c>
      <c r="C62" s="12">
        <v>26</v>
      </c>
      <c r="D62" s="8">
        <v>1.41</v>
      </c>
      <c r="E62" s="12">
        <v>8</v>
      </c>
      <c r="F62" s="8">
        <v>0.82</v>
      </c>
      <c r="G62" s="12">
        <v>18</v>
      </c>
      <c r="H62" s="8">
        <v>2.09</v>
      </c>
      <c r="I62" s="12">
        <v>0</v>
      </c>
    </row>
    <row r="63" spans="2:9" ht="15" customHeight="1" x14ac:dyDescent="0.2">
      <c r="B63" t="s">
        <v>153</v>
      </c>
      <c r="C63" s="12">
        <v>25</v>
      </c>
      <c r="D63" s="8">
        <v>1.36</v>
      </c>
      <c r="E63" s="12">
        <v>7</v>
      </c>
      <c r="F63" s="8">
        <v>0.72</v>
      </c>
      <c r="G63" s="12">
        <v>18</v>
      </c>
      <c r="H63" s="8">
        <v>2.09</v>
      </c>
      <c r="I63" s="12">
        <v>0</v>
      </c>
    </row>
    <row r="64" spans="2:9" ht="15" customHeight="1" x14ac:dyDescent="0.2">
      <c r="B64" t="s">
        <v>186</v>
      </c>
      <c r="C64" s="12">
        <v>25</v>
      </c>
      <c r="D64" s="8">
        <v>1.36</v>
      </c>
      <c r="E64" s="12">
        <v>16</v>
      </c>
      <c r="F64" s="8">
        <v>1.65</v>
      </c>
      <c r="G64" s="12">
        <v>9</v>
      </c>
      <c r="H64" s="8">
        <v>1.05</v>
      </c>
      <c r="I64" s="12">
        <v>0</v>
      </c>
    </row>
    <row r="65" spans="2:9" ht="15" customHeight="1" x14ac:dyDescent="0.2">
      <c r="B65" t="s">
        <v>157</v>
      </c>
      <c r="C65" s="12">
        <v>25</v>
      </c>
      <c r="D65" s="8">
        <v>1.36</v>
      </c>
      <c r="E65" s="12">
        <v>13</v>
      </c>
      <c r="F65" s="8">
        <v>1.34</v>
      </c>
      <c r="G65" s="12">
        <v>12</v>
      </c>
      <c r="H65" s="8">
        <v>1.39</v>
      </c>
      <c r="I65" s="12">
        <v>0</v>
      </c>
    </row>
    <row r="66" spans="2:9" ht="15" customHeight="1" x14ac:dyDescent="0.2">
      <c r="B66" t="s">
        <v>160</v>
      </c>
      <c r="C66" s="12">
        <v>24</v>
      </c>
      <c r="D66" s="8">
        <v>1.3</v>
      </c>
      <c r="E66" s="12">
        <v>3</v>
      </c>
      <c r="F66" s="8">
        <v>0.31</v>
      </c>
      <c r="G66" s="12">
        <v>20</v>
      </c>
      <c r="H66" s="8">
        <v>2.3199999999999998</v>
      </c>
      <c r="I66" s="12">
        <v>1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E4D0-DFF6-454B-8B1F-6624AA33A1B3}">
  <sheetPr>
    <pageSetUpPr fitToPage="1"/>
  </sheetPr>
  <dimension ref="A1:I166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150</v>
      </c>
      <c r="B1" s="3" t="s">
        <v>274</v>
      </c>
      <c r="C1" s="7" t="s">
        <v>87</v>
      </c>
      <c r="D1" s="7" t="s">
        <v>88</v>
      </c>
      <c r="E1" s="7" t="s">
        <v>89</v>
      </c>
      <c r="F1" s="7" t="s">
        <v>90</v>
      </c>
      <c r="G1" s="7" t="s">
        <v>91</v>
      </c>
      <c r="H1" s="7" t="s">
        <v>92</v>
      </c>
      <c r="I1" s="7" t="s">
        <v>93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161</v>
      </c>
      <c r="C3" s="4">
        <v>7237</v>
      </c>
      <c r="D3" s="8">
        <v>4.3600000000000003</v>
      </c>
      <c r="E3" s="4">
        <v>2892</v>
      </c>
      <c r="F3" s="8">
        <v>3.89</v>
      </c>
      <c r="G3" s="4">
        <v>4338</v>
      </c>
      <c r="H3" s="8">
        <v>4.7699999999999996</v>
      </c>
      <c r="I3" s="4">
        <v>4</v>
      </c>
    </row>
    <row r="4" spans="1:9" x14ac:dyDescent="0.2">
      <c r="A4" s="2">
        <v>2</v>
      </c>
      <c r="B4" s="1" t="s">
        <v>168</v>
      </c>
      <c r="C4" s="4">
        <v>6915</v>
      </c>
      <c r="D4" s="8">
        <v>4.16</v>
      </c>
      <c r="E4" s="4">
        <v>5886</v>
      </c>
      <c r="F4" s="8">
        <v>7.92</v>
      </c>
      <c r="G4" s="4">
        <v>1028</v>
      </c>
      <c r="H4" s="8">
        <v>1.1299999999999999</v>
      </c>
      <c r="I4" s="4">
        <v>1</v>
      </c>
    </row>
    <row r="5" spans="1:9" x14ac:dyDescent="0.2">
      <c r="A5" s="2">
        <v>3</v>
      </c>
      <c r="B5" s="1" t="s">
        <v>170</v>
      </c>
      <c r="C5" s="4">
        <v>4679</v>
      </c>
      <c r="D5" s="8">
        <v>2.82</v>
      </c>
      <c r="E5" s="4">
        <v>3644</v>
      </c>
      <c r="F5" s="8">
        <v>4.9000000000000004</v>
      </c>
      <c r="G5" s="4">
        <v>1017</v>
      </c>
      <c r="H5" s="8">
        <v>1.1200000000000001</v>
      </c>
      <c r="I5" s="4">
        <v>16</v>
      </c>
    </row>
    <row r="6" spans="1:9" x14ac:dyDescent="0.2">
      <c r="A6" s="2">
        <v>4</v>
      </c>
      <c r="B6" s="1" t="s">
        <v>165</v>
      </c>
      <c r="C6" s="4">
        <v>4406</v>
      </c>
      <c r="D6" s="8">
        <v>2.65</v>
      </c>
      <c r="E6" s="4">
        <v>3986</v>
      </c>
      <c r="F6" s="8">
        <v>5.36</v>
      </c>
      <c r="G6" s="4">
        <v>415</v>
      </c>
      <c r="H6" s="8">
        <v>0.46</v>
      </c>
      <c r="I6" s="4">
        <v>5</v>
      </c>
    </row>
    <row r="7" spans="1:9" x14ac:dyDescent="0.2">
      <c r="A7" s="2">
        <v>5</v>
      </c>
      <c r="B7" s="1" t="s">
        <v>163</v>
      </c>
      <c r="C7" s="4">
        <v>4143</v>
      </c>
      <c r="D7" s="8">
        <v>2.4900000000000002</v>
      </c>
      <c r="E7" s="4">
        <v>3017</v>
      </c>
      <c r="F7" s="8">
        <v>4.0599999999999996</v>
      </c>
      <c r="G7" s="4">
        <v>1126</v>
      </c>
      <c r="H7" s="8">
        <v>1.24</v>
      </c>
      <c r="I7" s="4">
        <v>0</v>
      </c>
    </row>
    <row r="8" spans="1:9" x14ac:dyDescent="0.2">
      <c r="A8" s="2">
        <v>6</v>
      </c>
      <c r="B8" s="1" t="s">
        <v>171</v>
      </c>
      <c r="C8" s="4">
        <v>4097</v>
      </c>
      <c r="D8" s="8">
        <v>2.4700000000000002</v>
      </c>
      <c r="E8" s="4">
        <v>3563</v>
      </c>
      <c r="F8" s="8">
        <v>4.79</v>
      </c>
      <c r="G8" s="4">
        <v>534</v>
      </c>
      <c r="H8" s="8">
        <v>0.59</v>
      </c>
      <c r="I8" s="4">
        <v>0</v>
      </c>
    </row>
    <row r="9" spans="1:9" x14ac:dyDescent="0.2">
      <c r="A9" s="2">
        <v>7</v>
      </c>
      <c r="B9" s="1" t="s">
        <v>167</v>
      </c>
      <c r="C9" s="4">
        <v>4079</v>
      </c>
      <c r="D9" s="8">
        <v>2.46</v>
      </c>
      <c r="E9" s="4">
        <v>3856</v>
      </c>
      <c r="F9" s="8">
        <v>5.19</v>
      </c>
      <c r="G9" s="4">
        <v>223</v>
      </c>
      <c r="H9" s="8">
        <v>0.25</v>
      </c>
      <c r="I9" s="4">
        <v>0</v>
      </c>
    </row>
    <row r="10" spans="1:9" x14ac:dyDescent="0.2">
      <c r="A10" s="2">
        <v>8</v>
      </c>
      <c r="B10" s="1" t="s">
        <v>164</v>
      </c>
      <c r="C10" s="4">
        <v>3448</v>
      </c>
      <c r="D10" s="8">
        <v>2.08</v>
      </c>
      <c r="E10" s="4">
        <v>3043</v>
      </c>
      <c r="F10" s="8">
        <v>4.09</v>
      </c>
      <c r="G10" s="4">
        <v>405</v>
      </c>
      <c r="H10" s="8">
        <v>0.45</v>
      </c>
      <c r="I10" s="4">
        <v>0</v>
      </c>
    </row>
    <row r="11" spans="1:9" x14ac:dyDescent="0.2">
      <c r="A11" s="2">
        <v>9</v>
      </c>
      <c r="B11" s="1" t="s">
        <v>156</v>
      </c>
      <c r="C11" s="4">
        <v>2944</v>
      </c>
      <c r="D11" s="8">
        <v>1.77</v>
      </c>
      <c r="E11" s="4">
        <v>1396</v>
      </c>
      <c r="F11" s="8">
        <v>1.88</v>
      </c>
      <c r="G11" s="4">
        <v>1548</v>
      </c>
      <c r="H11" s="8">
        <v>1.7</v>
      </c>
      <c r="I11" s="4">
        <v>0</v>
      </c>
    </row>
    <row r="12" spans="1:9" x14ac:dyDescent="0.2">
      <c r="A12" s="2">
        <v>10</v>
      </c>
      <c r="B12" s="1" t="s">
        <v>160</v>
      </c>
      <c r="C12" s="4">
        <v>2837</v>
      </c>
      <c r="D12" s="8">
        <v>1.71</v>
      </c>
      <c r="E12" s="4">
        <v>364</v>
      </c>
      <c r="F12" s="8">
        <v>0.49</v>
      </c>
      <c r="G12" s="4">
        <v>2468</v>
      </c>
      <c r="H12" s="8">
        <v>2.72</v>
      </c>
      <c r="I12" s="4">
        <v>5</v>
      </c>
    </row>
    <row r="13" spans="1:9" x14ac:dyDescent="0.2">
      <c r="A13" s="2">
        <v>11</v>
      </c>
      <c r="B13" s="1" t="s">
        <v>158</v>
      </c>
      <c r="C13" s="4">
        <v>2715</v>
      </c>
      <c r="D13" s="8">
        <v>1.63</v>
      </c>
      <c r="E13" s="4">
        <v>1610</v>
      </c>
      <c r="F13" s="8">
        <v>2.17</v>
      </c>
      <c r="G13" s="4">
        <v>1103</v>
      </c>
      <c r="H13" s="8">
        <v>1.21</v>
      </c>
      <c r="I13" s="4">
        <v>2</v>
      </c>
    </row>
    <row r="14" spans="1:9" x14ac:dyDescent="0.2">
      <c r="A14" s="2">
        <v>12</v>
      </c>
      <c r="B14" s="1" t="s">
        <v>154</v>
      </c>
      <c r="C14" s="4">
        <v>2588</v>
      </c>
      <c r="D14" s="8">
        <v>1.56</v>
      </c>
      <c r="E14" s="4">
        <v>567</v>
      </c>
      <c r="F14" s="8">
        <v>0.76</v>
      </c>
      <c r="G14" s="4">
        <v>2020</v>
      </c>
      <c r="H14" s="8">
        <v>2.2200000000000002</v>
      </c>
      <c r="I14" s="4">
        <v>1</v>
      </c>
    </row>
    <row r="15" spans="1:9" x14ac:dyDescent="0.2">
      <c r="A15" s="2">
        <v>13</v>
      </c>
      <c r="B15" s="1" t="s">
        <v>153</v>
      </c>
      <c r="C15" s="4">
        <v>2272</v>
      </c>
      <c r="D15" s="8">
        <v>1.37</v>
      </c>
      <c r="E15" s="4">
        <v>284</v>
      </c>
      <c r="F15" s="8">
        <v>0.38</v>
      </c>
      <c r="G15" s="4">
        <v>1988</v>
      </c>
      <c r="H15" s="8">
        <v>2.19</v>
      </c>
      <c r="I15" s="4">
        <v>0</v>
      </c>
    </row>
    <row r="16" spans="1:9" x14ac:dyDescent="0.2">
      <c r="A16" s="2">
        <v>14</v>
      </c>
      <c r="B16" s="1" t="s">
        <v>155</v>
      </c>
      <c r="C16" s="4">
        <v>2269</v>
      </c>
      <c r="D16" s="8">
        <v>1.37</v>
      </c>
      <c r="E16" s="4">
        <v>452</v>
      </c>
      <c r="F16" s="8">
        <v>0.61</v>
      </c>
      <c r="G16" s="4">
        <v>1817</v>
      </c>
      <c r="H16" s="8">
        <v>2</v>
      </c>
      <c r="I16" s="4">
        <v>0</v>
      </c>
    </row>
    <row r="17" spans="1:9" x14ac:dyDescent="0.2">
      <c r="A17" s="2">
        <v>15</v>
      </c>
      <c r="B17" s="1" t="s">
        <v>152</v>
      </c>
      <c r="C17" s="4">
        <v>2157</v>
      </c>
      <c r="D17" s="8">
        <v>1.3</v>
      </c>
      <c r="E17" s="4">
        <v>307</v>
      </c>
      <c r="F17" s="8">
        <v>0.41</v>
      </c>
      <c r="G17" s="4">
        <v>1848</v>
      </c>
      <c r="H17" s="8">
        <v>2.0299999999999998</v>
      </c>
      <c r="I17" s="4">
        <v>2</v>
      </c>
    </row>
    <row r="18" spans="1:9" x14ac:dyDescent="0.2">
      <c r="A18" s="2">
        <v>16</v>
      </c>
      <c r="B18" s="1" t="s">
        <v>157</v>
      </c>
      <c r="C18" s="4">
        <v>2112</v>
      </c>
      <c r="D18" s="8">
        <v>1.27</v>
      </c>
      <c r="E18" s="4">
        <v>881</v>
      </c>
      <c r="F18" s="8">
        <v>1.18</v>
      </c>
      <c r="G18" s="4">
        <v>1231</v>
      </c>
      <c r="H18" s="8">
        <v>1.35</v>
      </c>
      <c r="I18" s="4">
        <v>0</v>
      </c>
    </row>
    <row r="19" spans="1:9" x14ac:dyDescent="0.2">
      <c r="A19" s="2">
        <v>17</v>
      </c>
      <c r="B19" s="1" t="s">
        <v>166</v>
      </c>
      <c r="C19" s="4">
        <v>2104</v>
      </c>
      <c r="D19" s="8">
        <v>1.27</v>
      </c>
      <c r="E19" s="4">
        <v>1160</v>
      </c>
      <c r="F19" s="8">
        <v>1.56</v>
      </c>
      <c r="G19" s="4">
        <v>944</v>
      </c>
      <c r="H19" s="8">
        <v>1.04</v>
      </c>
      <c r="I19" s="4">
        <v>0</v>
      </c>
    </row>
    <row r="20" spans="1:9" x14ac:dyDescent="0.2">
      <c r="A20" s="2">
        <v>18</v>
      </c>
      <c r="B20" s="1" t="s">
        <v>162</v>
      </c>
      <c r="C20" s="4">
        <v>2081</v>
      </c>
      <c r="D20" s="8">
        <v>1.25</v>
      </c>
      <c r="E20" s="4">
        <v>839</v>
      </c>
      <c r="F20" s="8">
        <v>1.1299999999999999</v>
      </c>
      <c r="G20" s="4">
        <v>1226</v>
      </c>
      <c r="H20" s="8">
        <v>1.35</v>
      </c>
      <c r="I20" s="4">
        <v>0</v>
      </c>
    </row>
    <row r="21" spans="1:9" x14ac:dyDescent="0.2">
      <c r="A21" s="2">
        <v>19</v>
      </c>
      <c r="B21" s="1" t="s">
        <v>159</v>
      </c>
      <c r="C21" s="4">
        <v>1983</v>
      </c>
      <c r="D21" s="8">
        <v>1.19</v>
      </c>
      <c r="E21" s="4">
        <v>427</v>
      </c>
      <c r="F21" s="8">
        <v>0.56999999999999995</v>
      </c>
      <c r="G21" s="4">
        <v>1556</v>
      </c>
      <c r="H21" s="8">
        <v>1.71</v>
      </c>
      <c r="I21" s="4">
        <v>0</v>
      </c>
    </row>
    <row r="22" spans="1:9" x14ac:dyDescent="0.2">
      <c r="A22" s="2">
        <v>20</v>
      </c>
      <c r="B22" s="1" t="s">
        <v>169</v>
      </c>
      <c r="C22" s="4">
        <v>1975</v>
      </c>
      <c r="D22" s="8">
        <v>1.19</v>
      </c>
      <c r="E22" s="4">
        <v>1313</v>
      </c>
      <c r="F22" s="8">
        <v>1.77</v>
      </c>
      <c r="G22" s="4">
        <v>660</v>
      </c>
      <c r="H22" s="8">
        <v>0.73</v>
      </c>
      <c r="I22" s="4">
        <v>2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161</v>
      </c>
      <c r="C25" s="4">
        <v>3133</v>
      </c>
      <c r="D25" s="8">
        <v>4.9800000000000004</v>
      </c>
      <c r="E25" s="4">
        <v>762</v>
      </c>
      <c r="F25" s="8">
        <v>3.24</v>
      </c>
      <c r="G25" s="4">
        <v>2369</v>
      </c>
      <c r="H25" s="8">
        <v>6.03</v>
      </c>
      <c r="I25" s="4">
        <v>2</v>
      </c>
    </row>
    <row r="26" spans="1:9" x14ac:dyDescent="0.2">
      <c r="A26" s="2">
        <v>2</v>
      </c>
      <c r="B26" s="1" t="s">
        <v>168</v>
      </c>
      <c r="C26" s="4">
        <v>2225</v>
      </c>
      <c r="D26" s="8">
        <v>3.54</v>
      </c>
      <c r="E26" s="4">
        <v>1780</v>
      </c>
      <c r="F26" s="8">
        <v>7.57</v>
      </c>
      <c r="G26" s="4">
        <v>445</v>
      </c>
      <c r="H26" s="8">
        <v>1.1299999999999999</v>
      </c>
      <c r="I26" s="4">
        <v>0</v>
      </c>
    </row>
    <row r="27" spans="1:9" x14ac:dyDescent="0.2">
      <c r="A27" s="2">
        <v>3</v>
      </c>
      <c r="B27" s="1" t="s">
        <v>163</v>
      </c>
      <c r="C27" s="4">
        <v>1828</v>
      </c>
      <c r="D27" s="8">
        <v>2.91</v>
      </c>
      <c r="E27" s="4">
        <v>1275</v>
      </c>
      <c r="F27" s="8">
        <v>5.43</v>
      </c>
      <c r="G27" s="4">
        <v>553</v>
      </c>
      <c r="H27" s="8">
        <v>1.41</v>
      </c>
      <c r="I27" s="4">
        <v>0</v>
      </c>
    </row>
    <row r="28" spans="1:9" x14ac:dyDescent="0.2">
      <c r="A28" s="2">
        <v>4</v>
      </c>
      <c r="B28" s="1" t="s">
        <v>165</v>
      </c>
      <c r="C28" s="4">
        <v>1705</v>
      </c>
      <c r="D28" s="8">
        <v>2.71</v>
      </c>
      <c r="E28" s="4">
        <v>1530</v>
      </c>
      <c r="F28" s="8">
        <v>6.51</v>
      </c>
      <c r="G28" s="4">
        <v>175</v>
      </c>
      <c r="H28" s="8">
        <v>0.45</v>
      </c>
      <c r="I28" s="4">
        <v>0</v>
      </c>
    </row>
    <row r="29" spans="1:9" x14ac:dyDescent="0.2">
      <c r="A29" s="2">
        <v>5</v>
      </c>
      <c r="B29" s="1" t="s">
        <v>171</v>
      </c>
      <c r="C29" s="4">
        <v>1513</v>
      </c>
      <c r="D29" s="8">
        <v>2.41</v>
      </c>
      <c r="E29" s="4">
        <v>1248</v>
      </c>
      <c r="F29" s="8">
        <v>5.31</v>
      </c>
      <c r="G29" s="4">
        <v>265</v>
      </c>
      <c r="H29" s="8">
        <v>0.67</v>
      </c>
      <c r="I29" s="4">
        <v>0</v>
      </c>
    </row>
    <row r="30" spans="1:9" x14ac:dyDescent="0.2">
      <c r="A30" s="2">
        <v>6</v>
      </c>
      <c r="B30" s="1" t="s">
        <v>170</v>
      </c>
      <c r="C30" s="4">
        <v>1498</v>
      </c>
      <c r="D30" s="8">
        <v>2.38</v>
      </c>
      <c r="E30" s="4">
        <v>1063</v>
      </c>
      <c r="F30" s="8">
        <v>4.5199999999999996</v>
      </c>
      <c r="G30" s="4">
        <v>431</v>
      </c>
      <c r="H30" s="8">
        <v>1.1000000000000001</v>
      </c>
      <c r="I30" s="4">
        <v>4</v>
      </c>
    </row>
    <row r="31" spans="1:9" x14ac:dyDescent="0.2">
      <c r="A31" s="2">
        <v>7</v>
      </c>
      <c r="B31" s="1" t="s">
        <v>164</v>
      </c>
      <c r="C31" s="4">
        <v>1471</v>
      </c>
      <c r="D31" s="8">
        <v>2.34</v>
      </c>
      <c r="E31" s="4">
        <v>1232</v>
      </c>
      <c r="F31" s="8">
        <v>5.24</v>
      </c>
      <c r="G31" s="4">
        <v>239</v>
      </c>
      <c r="H31" s="8">
        <v>0.61</v>
      </c>
      <c r="I31" s="4">
        <v>0</v>
      </c>
    </row>
    <row r="32" spans="1:9" x14ac:dyDescent="0.2">
      <c r="A32" s="2">
        <v>8</v>
      </c>
      <c r="B32" s="1" t="s">
        <v>160</v>
      </c>
      <c r="C32" s="4">
        <v>1332</v>
      </c>
      <c r="D32" s="8">
        <v>2.12</v>
      </c>
      <c r="E32" s="4">
        <v>131</v>
      </c>
      <c r="F32" s="8">
        <v>0.56000000000000005</v>
      </c>
      <c r="G32" s="4">
        <v>1198</v>
      </c>
      <c r="H32" s="8">
        <v>3.05</v>
      </c>
      <c r="I32" s="4">
        <v>3</v>
      </c>
    </row>
    <row r="33" spans="1:9" x14ac:dyDescent="0.2">
      <c r="A33" s="2">
        <v>9</v>
      </c>
      <c r="B33" s="1" t="s">
        <v>167</v>
      </c>
      <c r="C33" s="4">
        <v>1213</v>
      </c>
      <c r="D33" s="8">
        <v>1.93</v>
      </c>
      <c r="E33" s="4">
        <v>1132</v>
      </c>
      <c r="F33" s="8">
        <v>4.82</v>
      </c>
      <c r="G33" s="4">
        <v>81</v>
      </c>
      <c r="H33" s="8">
        <v>0.21</v>
      </c>
      <c r="I33" s="4">
        <v>0</v>
      </c>
    </row>
    <row r="34" spans="1:9" x14ac:dyDescent="0.2">
      <c r="A34" s="2">
        <v>10</v>
      </c>
      <c r="B34" s="1" t="s">
        <v>158</v>
      </c>
      <c r="C34" s="4">
        <v>1040</v>
      </c>
      <c r="D34" s="8">
        <v>1.65</v>
      </c>
      <c r="E34" s="4">
        <v>589</v>
      </c>
      <c r="F34" s="8">
        <v>2.5099999999999998</v>
      </c>
      <c r="G34" s="4">
        <v>450</v>
      </c>
      <c r="H34" s="8">
        <v>1.1499999999999999</v>
      </c>
      <c r="I34" s="4">
        <v>1</v>
      </c>
    </row>
    <row r="35" spans="1:9" x14ac:dyDescent="0.2">
      <c r="A35" s="2">
        <v>10</v>
      </c>
      <c r="B35" s="1" t="s">
        <v>176</v>
      </c>
      <c r="C35" s="4">
        <v>1040</v>
      </c>
      <c r="D35" s="8">
        <v>1.65</v>
      </c>
      <c r="E35" s="4">
        <v>896</v>
      </c>
      <c r="F35" s="8">
        <v>3.81</v>
      </c>
      <c r="G35" s="4">
        <v>144</v>
      </c>
      <c r="H35" s="8">
        <v>0.37</v>
      </c>
      <c r="I35" s="4">
        <v>0</v>
      </c>
    </row>
    <row r="36" spans="1:9" x14ac:dyDescent="0.2">
      <c r="A36" s="2">
        <v>12</v>
      </c>
      <c r="B36" s="1" t="s">
        <v>162</v>
      </c>
      <c r="C36" s="4">
        <v>923</v>
      </c>
      <c r="D36" s="8">
        <v>1.47</v>
      </c>
      <c r="E36" s="4">
        <v>295</v>
      </c>
      <c r="F36" s="8">
        <v>1.26</v>
      </c>
      <c r="G36" s="4">
        <v>626</v>
      </c>
      <c r="H36" s="8">
        <v>1.59</v>
      </c>
      <c r="I36" s="4">
        <v>0</v>
      </c>
    </row>
    <row r="37" spans="1:9" x14ac:dyDescent="0.2">
      <c r="A37" s="2">
        <v>13</v>
      </c>
      <c r="B37" s="1" t="s">
        <v>174</v>
      </c>
      <c r="C37" s="4">
        <v>902</v>
      </c>
      <c r="D37" s="8">
        <v>1.43</v>
      </c>
      <c r="E37" s="4">
        <v>25</v>
      </c>
      <c r="F37" s="8">
        <v>0.11</v>
      </c>
      <c r="G37" s="4">
        <v>868</v>
      </c>
      <c r="H37" s="8">
        <v>2.21</v>
      </c>
      <c r="I37" s="4">
        <v>7</v>
      </c>
    </row>
    <row r="38" spans="1:9" x14ac:dyDescent="0.2">
      <c r="A38" s="2">
        <v>14</v>
      </c>
      <c r="B38" s="1" t="s">
        <v>159</v>
      </c>
      <c r="C38" s="4">
        <v>901</v>
      </c>
      <c r="D38" s="8">
        <v>1.43</v>
      </c>
      <c r="E38" s="4">
        <v>110</v>
      </c>
      <c r="F38" s="8">
        <v>0.47</v>
      </c>
      <c r="G38" s="4">
        <v>791</v>
      </c>
      <c r="H38" s="8">
        <v>2.0099999999999998</v>
      </c>
      <c r="I38" s="4">
        <v>0</v>
      </c>
    </row>
    <row r="39" spans="1:9" x14ac:dyDescent="0.2">
      <c r="A39" s="2">
        <v>15</v>
      </c>
      <c r="B39" s="1" t="s">
        <v>175</v>
      </c>
      <c r="C39" s="4">
        <v>896</v>
      </c>
      <c r="D39" s="8">
        <v>1.42</v>
      </c>
      <c r="E39" s="4">
        <v>817</v>
      </c>
      <c r="F39" s="8">
        <v>3.48</v>
      </c>
      <c r="G39" s="4">
        <v>79</v>
      </c>
      <c r="H39" s="8">
        <v>0.2</v>
      </c>
      <c r="I39" s="4">
        <v>0</v>
      </c>
    </row>
    <row r="40" spans="1:9" x14ac:dyDescent="0.2">
      <c r="A40" s="2">
        <v>16</v>
      </c>
      <c r="B40" s="1" t="s">
        <v>154</v>
      </c>
      <c r="C40" s="4">
        <v>835</v>
      </c>
      <c r="D40" s="8">
        <v>1.33</v>
      </c>
      <c r="E40" s="4">
        <v>112</v>
      </c>
      <c r="F40" s="8">
        <v>0.48</v>
      </c>
      <c r="G40" s="4">
        <v>723</v>
      </c>
      <c r="H40" s="8">
        <v>1.84</v>
      </c>
      <c r="I40" s="4">
        <v>0</v>
      </c>
    </row>
    <row r="41" spans="1:9" x14ac:dyDescent="0.2">
      <c r="A41" s="2">
        <v>17</v>
      </c>
      <c r="B41" s="1" t="s">
        <v>155</v>
      </c>
      <c r="C41" s="4">
        <v>821</v>
      </c>
      <c r="D41" s="8">
        <v>1.31</v>
      </c>
      <c r="E41" s="4">
        <v>89</v>
      </c>
      <c r="F41" s="8">
        <v>0.38</v>
      </c>
      <c r="G41" s="4">
        <v>732</v>
      </c>
      <c r="H41" s="8">
        <v>1.86</v>
      </c>
      <c r="I41" s="4">
        <v>0</v>
      </c>
    </row>
    <row r="42" spans="1:9" x14ac:dyDescent="0.2">
      <c r="A42" s="2">
        <v>18</v>
      </c>
      <c r="B42" s="1" t="s">
        <v>173</v>
      </c>
      <c r="C42" s="4">
        <v>812</v>
      </c>
      <c r="D42" s="8">
        <v>1.29</v>
      </c>
      <c r="E42" s="4">
        <v>89</v>
      </c>
      <c r="F42" s="8">
        <v>0.38</v>
      </c>
      <c r="G42" s="4">
        <v>723</v>
      </c>
      <c r="H42" s="8">
        <v>1.84</v>
      </c>
      <c r="I42" s="4">
        <v>0</v>
      </c>
    </row>
    <row r="43" spans="1:9" x14ac:dyDescent="0.2">
      <c r="A43" s="2">
        <v>19</v>
      </c>
      <c r="B43" s="1" t="s">
        <v>166</v>
      </c>
      <c r="C43" s="4">
        <v>763</v>
      </c>
      <c r="D43" s="8">
        <v>1.21</v>
      </c>
      <c r="E43" s="4">
        <v>362</v>
      </c>
      <c r="F43" s="8">
        <v>1.54</v>
      </c>
      <c r="G43" s="4">
        <v>401</v>
      </c>
      <c r="H43" s="8">
        <v>1.02</v>
      </c>
      <c r="I43" s="4">
        <v>0</v>
      </c>
    </row>
    <row r="44" spans="1:9" x14ac:dyDescent="0.2">
      <c r="A44" s="2">
        <v>20</v>
      </c>
      <c r="B44" s="1" t="s">
        <v>172</v>
      </c>
      <c r="C44" s="4">
        <v>739</v>
      </c>
      <c r="D44" s="8">
        <v>1.18</v>
      </c>
      <c r="E44" s="4">
        <v>57</v>
      </c>
      <c r="F44" s="8">
        <v>0.24</v>
      </c>
      <c r="G44" s="4">
        <v>682</v>
      </c>
      <c r="H44" s="8">
        <v>1.74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161</v>
      </c>
      <c r="C47" s="4">
        <v>354</v>
      </c>
      <c r="D47" s="8">
        <v>8.16</v>
      </c>
      <c r="E47" s="4">
        <v>100</v>
      </c>
      <c r="F47" s="8">
        <v>5.74</v>
      </c>
      <c r="G47" s="4">
        <v>254</v>
      </c>
      <c r="H47" s="8">
        <v>9.81</v>
      </c>
      <c r="I47" s="4">
        <v>0</v>
      </c>
    </row>
    <row r="48" spans="1:9" x14ac:dyDescent="0.2">
      <c r="A48" s="2">
        <v>2</v>
      </c>
      <c r="B48" s="1" t="s">
        <v>168</v>
      </c>
      <c r="C48" s="4">
        <v>215</v>
      </c>
      <c r="D48" s="8">
        <v>4.96</v>
      </c>
      <c r="E48" s="4">
        <v>176</v>
      </c>
      <c r="F48" s="8">
        <v>10.11</v>
      </c>
      <c r="G48" s="4">
        <v>39</v>
      </c>
      <c r="H48" s="8">
        <v>1.51</v>
      </c>
      <c r="I48" s="4">
        <v>0</v>
      </c>
    </row>
    <row r="49" spans="1:9" x14ac:dyDescent="0.2">
      <c r="A49" s="2">
        <v>3</v>
      </c>
      <c r="B49" s="1" t="s">
        <v>163</v>
      </c>
      <c r="C49" s="4">
        <v>196</v>
      </c>
      <c r="D49" s="8">
        <v>4.5199999999999996</v>
      </c>
      <c r="E49" s="4">
        <v>138</v>
      </c>
      <c r="F49" s="8">
        <v>7.93</v>
      </c>
      <c r="G49" s="4">
        <v>58</v>
      </c>
      <c r="H49" s="8">
        <v>2.2400000000000002</v>
      </c>
      <c r="I49" s="4">
        <v>0</v>
      </c>
    </row>
    <row r="50" spans="1:9" x14ac:dyDescent="0.2">
      <c r="A50" s="2">
        <v>4</v>
      </c>
      <c r="B50" s="1" t="s">
        <v>170</v>
      </c>
      <c r="C50" s="4">
        <v>153</v>
      </c>
      <c r="D50" s="8">
        <v>3.53</v>
      </c>
      <c r="E50" s="4">
        <v>111</v>
      </c>
      <c r="F50" s="8">
        <v>6.38</v>
      </c>
      <c r="G50" s="4">
        <v>42</v>
      </c>
      <c r="H50" s="8">
        <v>1.62</v>
      </c>
      <c r="I50" s="4">
        <v>0</v>
      </c>
    </row>
    <row r="51" spans="1:9" x14ac:dyDescent="0.2">
      <c r="A51" s="2">
        <v>5</v>
      </c>
      <c r="B51" s="1" t="s">
        <v>160</v>
      </c>
      <c r="C51" s="4">
        <v>130</v>
      </c>
      <c r="D51" s="8">
        <v>3</v>
      </c>
      <c r="E51" s="4">
        <v>21</v>
      </c>
      <c r="F51" s="8">
        <v>1.21</v>
      </c>
      <c r="G51" s="4">
        <v>108</v>
      </c>
      <c r="H51" s="8">
        <v>4.17</v>
      </c>
      <c r="I51" s="4">
        <v>1</v>
      </c>
    </row>
    <row r="52" spans="1:9" x14ac:dyDescent="0.2">
      <c r="A52" s="2">
        <v>6</v>
      </c>
      <c r="B52" s="1" t="s">
        <v>171</v>
      </c>
      <c r="C52" s="4">
        <v>128</v>
      </c>
      <c r="D52" s="8">
        <v>2.95</v>
      </c>
      <c r="E52" s="4">
        <v>104</v>
      </c>
      <c r="F52" s="8">
        <v>5.97</v>
      </c>
      <c r="G52" s="4">
        <v>24</v>
      </c>
      <c r="H52" s="8">
        <v>0.93</v>
      </c>
      <c r="I52" s="4">
        <v>0</v>
      </c>
    </row>
    <row r="53" spans="1:9" x14ac:dyDescent="0.2">
      <c r="A53" s="2">
        <v>7</v>
      </c>
      <c r="B53" s="1" t="s">
        <v>165</v>
      </c>
      <c r="C53" s="4">
        <v>105</v>
      </c>
      <c r="D53" s="8">
        <v>2.42</v>
      </c>
      <c r="E53" s="4">
        <v>89</v>
      </c>
      <c r="F53" s="8">
        <v>5.1100000000000003</v>
      </c>
      <c r="G53" s="4">
        <v>16</v>
      </c>
      <c r="H53" s="8">
        <v>0.62</v>
      </c>
      <c r="I53" s="4">
        <v>0</v>
      </c>
    </row>
    <row r="54" spans="1:9" x14ac:dyDescent="0.2">
      <c r="A54" s="2">
        <v>8</v>
      </c>
      <c r="B54" s="1" t="s">
        <v>162</v>
      </c>
      <c r="C54" s="4">
        <v>102</v>
      </c>
      <c r="D54" s="8">
        <v>2.35</v>
      </c>
      <c r="E54" s="4">
        <v>34</v>
      </c>
      <c r="F54" s="8">
        <v>1.95</v>
      </c>
      <c r="G54" s="4">
        <v>68</v>
      </c>
      <c r="H54" s="8">
        <v>2.63</v>
      </c>
      <c r="I54" s="4">
        <v>0</v>
      </c>
    </row>
    <row r="55" spans="1:9" x14ac:dyDescent="0.2">
      <c r="A55" s="2">
        <v>8</v>
      </c>
      <c r="B55" s="1" t="s">
        <v>164</v>
      </c>
      <c r="C55" s="4">
        <v>102</v>
      </c>
      <c r="D55" s="8">
        <v>2.35</v>
      </c>
      <c r="E55" s="4">
        <v>83</v>
      </c>
      <c r="F55" s="8">
        <v>4.7699999999999996</v>
      </c>
      <c r="G55" s="4">
        <v>19</v>
      </c>
      <c r="H55" s="8">
        <v>0.73</v>
      </c>
      <c r="I55" s="4">
        <v>0</v>
      </c>
    </row>
    <row r="56" spans="1:9" x14ac:dyDescent="0.2">
      <c r="A56" s="2">
        <v>10</v>
      </c>
      <c r="B56" s="1" t="s">
        <v>158</v>
      </c>
      <c r="C56" s="4">
        <v>100</v>
      </c>
      <c r="D56" s="8">
        <v>2.31</v>
      </c>
      <c r="E56" s="4">
        <v>55</v>
      </c>
      <c r="F56" s="8">
        <v>3.16</v>
      </c>
      <c r="G56" s="4">
        <v>45</v>
      </c>
      <c r="H56" s="8">
        <v>1.74</v>
      </c>
      <c r="I56" s="4">
        <v>0</v>
      </c>
    </row>
    <row r="57" spans="1:9" x14ac:dyDescent="0.2">
      <c r="A57" s="2">
        <v>11</v>
      </c>
      <c r="B57" s="1" t="s">
        <v>159</v>
      </c>
      <c r="C57" s="4">
        <v>99</v>
      </c>
      <c r="D57" s="8">
        <v>2.2799999999999998</v>
      </c>
      <c r="E57" s="4">
        <v>7</v>
      </c>
      <c r="F57" s="8">
        <v>0.4</v>
      </c>
      <c r="G57" s="4">
        <v>92</v>
      </c>
      <c r="H57" s="8">
        <v>3.55</v>
      </c>
      <c r="I57" s="4">
        <v>0</v>
      </c>
    </row>
    <row r="58" spans="1:9" x14ac:dyDescent="0.2">
      <c r="A58" s="2">
        <v>12</v>
      </c>
      <c r="B58" s="1" t="s">
        <v>174</v>
      </c>
      <c r="C58" s="4">
        <v>94</v>
      </c>
      <c r="D58" s="8">
        <v>2.17</v>
      </c>
      <c r="E58" s="4">
        <v>1</v>
      </c>
      <c r="F58" s="8">
        <v>0.06</v>
      </c>
      <c r="G58" s="4">
        <v>93</v>
      </c>
      <c r="H58" s="8">
        <v>3.59</v>
      </c>
      <c r="I58" s="4">
        <v>0</v>
      </c>
    </row>
    <row r="59" spans="1:9" x14ac:dyDescent="0.2">
      <c r="A59" s="2">
        <v>13</v>
      </c>
      <c r="B59" s="1" t="s">
        <v>175</v>
      </c>
      <c r="C59" s="4">
        <v>74</v>
      </c>
      <c r="D59" s="8">
        <v>1.71</v>
      </c>
      <c r="E59" s="4">
        <v>69</v>
      </c>
      <c r="F59" s="8">
        <v>3.96</v>
      </c>
      <c r="G59" s="4">
        <v>5</v>
      </c>
      <c r="H59" s="8">
        <v>0.19</v>
      </c>
      <c r="I59" s="4">
        <v>0</v>
      </c>
    </row>
    <row r="60" spans="1:9" x14ac:dyDescent="0.2">
      <c r="A60" s="2">
        <v>14</v>
      </c>
      <c r="B60" s="1" t="s">
        <v>169</v>
      </c>
      <c r="C60" s="4">
        <v>68</v>
      </c>
      <c r="D60" s="8">
        <v>1.57</v>
      </c>
      <c r="E60" s="4">
        <v>31</v>
      </c>
      <c r="F60" s="8">
        <v>1.78</v>
      </c>
      <c r="G60" s="4">
        <v>37</v>
      </c>
      <c r="H60" s="8">
        <v>1.43</v>
      </c>
      <c r="I60" s="4">
        <v>0</v>
      </c>
    </row>
    <row r="61" spans="1:9" x14ac:dyDescent="0.2">
      <c r="A61" s="2">
        <v>15</v>
      </c>
      <c r="B61" s="1" t="s">
        <v>173</v>
      </c>
      <c r="C61" s="4">
        <v>66</v>
      </c>
      <c r="D61" s="8">
        <v>1.52</v>
      </c>
      <c r="E61" s="4">
        <v>7</v>
      </c>
      <c r="F61" s="8">
        <v>0.4</v>
      </c>
      <c r="G61" s="4">
        <v>59</v>
      </c>
      <c r="H61" s="8">
        <v>2.2799999999999998</v>
      </c>
      <c r="I61" s="4">
        <v>0</v>
      </c>
    </row>
    <row r="62" spans="1:9" x14ac:dyDescent="0.2">
      <c r="A62" s="2">
        <v>16</v>
      </c>
      <c r="B62" s="1" t="s">
        <v>167</v>
      </c>
      <c r="C62" s="4">
        <v>63</v>
      </c>
      <c r="D62" s="8">
        <v>1.45</v>
      </c>
      <c r="E62" s="4">
        <v>59</v>
      </c>
      <c r="F62" s="8">
        <v>3.39</v>
      </c>
      <c r="G62" s="4">
        <v>4</v>
      </c>
      <c r="H62" s="8">
        <v>0.15</v>
      </c>
      <c r="I62" s="4">
        <v>0</v>
      </c>
    </row>
    <row r="63" spans="1:9" x14ac:dyDescent="0.2">
      <c r="A63" s="2">
        <v>17</v>
      </c>
      <c r="B63" s="1" t="s">
        <v>178</v>
      </c>
      <c r="C63" s="4">
        <v>60</v>
      </c>
      <c r="D63" s="8">
        <v>1.38</v>
      </c>
      <c r="E63" s="4">
        <v>4</v>
      </c>
      <c r="F63" s="8">
        <v>0.23</v>
      </c>
      <c r="G63" s="4">
        <v>56</v>
      </c>
      <c r="H63" s="8">
        <v>2.16</v>
      </c>
      <c r="I63" s="4">
        <v>0</v>
      </c>
    </row>
    <row r="64" spans="1:9" x14ac:dyDescent="0.2">
      <c r="A64" s="2">
        <v>17</v>
      </c>
      <c r="B64" s="1" t="s">
        <v>179</v>
      </c>
      <c r="C64" s="4">
        <v>60</v>
      </c>
      <c r="D64" s="8">
        <v>1.38</v>
      </c>
      <c r="E64" s="4">
        <v>38</v>
      </c>
      <c r="F64" s="8">
        <v>2.1800000000000002</v>
      </c>
      <c r="G64" s="4">
        <v>22</v>
      </c>
      <c r="H64" s="8">
        <v>0.85</v>
      </c>
      <c r="I64" s="4">
        <v>0</v>
      </c>
    </row>
    <row r="65" spans="1:9" x14ac:dyDescent="0.2">
      <c r="A65" s="2">
        <v>19</v>
      </c>
      <c r="B65" s="1" t="s">
        <v>177</v>
      </c>
      <c r="C65" s="4">
        <v>57</v>
      </c>
      <c r="D65" s="8">
        <v>1.31</v>
      </c>
      <c r="E65" s="4">
        <v>1</v>
      </c>
      <c r="F65" s="8">
        <v>0.06</v>
      </c>
      <c r="G65" s="4">
        <v>56</v>
      </c>
      <c r="H65" s="8">
        <v>2.16</v>
      </c>
      <c r="I65" s="4">
        <v>0</v>
      </c>
    </row>
    <row r="66" spans="1:9" x14ac:dyDescent="0.2">
      <c r="A66" s="2">
        <v>20</v>
      </c>
      <c r="B66" s="1" t="s">
        <v>180</v>
      </c>
      <c r="C66" s="4">
        <v>56</v>
      </c>
      <c r="D66" s="8">
        <v>1.29</v>
      </c>
      <c r="E66" s="4">
        <v>1</v>
      </c>
      <c r="F66" s="8">
        <v>0.06</v>
      </c>
      <c r="G66" s="4">
        <v>52</v>
      </c>
      <c r="H66" s="8">
        <v>2.0099999999999998</v>
      </c>
      <c r="I66" s="4">
        <v>3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161</v>
      </c>
      <c r="C69" s="4">
        <v>193</v>
      </c>
      <c r="D69" s="8">
        <v>5.66</v>
      </c>
      <c r="E69" s="4">
        <v>47</v>
      </c>
      <c r="F69" s="8">
        <v>4.12</v>
      </c>
      <c r="G69" s="4">
        <v>146</v>
      </c>
      <c r="H69" s="8">
        <v>6.45</v>
      </c>
      <c r="I69" s="4">
        <v>0</v>
      </c>
    </row>
    <row r="70" spans="1:9" x14ac:dyDescent="0.2">
      <c r="A70" s="2">
        <v>2</v>
      </c>
      <c r="B70" s="1" t="s">
        <v>163</v>
      </c>
      <c r="C70" s="4">
        <v>116</v>
      </c>
      <c r="D70" s="8">
        <v>3.4</v>
      </c>
      <c r="E70" s="4">
        <v>83</v>
      </c>
      <c r="F70" s="8">
        <v>7.28</v>
      </c>
      <c r="G70" s="4">
        <v>33</v>
      </c>
      <c r="H70" s="8">
        <v>1.46</v>
      </c>
      <c r="I70" s="4">
        <v>0</v>
      </c>
    </row>
    <row r="71" spans="1:9" x14ac:dyDescent="0.2">
      <c r="A71" s="2">
        <v>3</v>
      </c>
      <c r="B71" s="1" t="s">
        <v>160</v>
      </c>
      <c r="C71" s="4">
        <v>98</v>
      </c>
      <c r="D71" s="8">
        <v>2.87</v>
      </c>
      <c r="E71" s="4">
        <v>12</v>
      </c>
      <c r="F71" s="8">
        <v>1.05</v>
      </c>
      <c r="G71" s="4">
        <v>86</v>
      </c>
      <c r="H71" s="8">
        <v>3.8</v>
      </c>
      <c r="I71" s="4">
        <v>0</v>
      </c>
    </row>
    <row r="72" spans="1:9" x14ac:dyDescent="0.2">
      <c r="A72" s="2">
        <v>4</v>
      </c>
      <c r="B72" s="1" t="s">
        <v>168</v>
      </c>
      <c r="C72" s="4">
        <v>92</v>
      </c>
      <c r="D72" s="8">
        <v>2.7</v>
      </c>
      <c r="E72" s="4">
        <v>66</v>
      </c>
      <c r="F72" s="8">
        <v>5.79</v>
      </c>
      <c r="G72" s="4">
        <v>26</v>
      </c>
      <c r="H72" s="8">
        <v>1.1499999999999999</v>
      </c>
      <c r="I72" s="4">
        <v>0</v>
      </c>
    </row>
    <row r="73" spans="1:9" x14ac:dyDescent="0.2">
      <c r="A73" s="2">
        <v>5</v>
      </c>
      <c r="B73" s="1" t="s">
        <v>159</v>
      </c>
      <c r="C73" s="4">
        <v>87</v>
      </c>
      <c r="D73" s="8">
        <v>2.5499999999999998</v>
      </c>
      <c r="E73" s="4">
        <v>5</v>
      </c>
      <c r="F73" s="8">
        <v>0.44</v>
      </c>
      <c r="G73" s="4">
        <v>82</v>
      </c>
      <c r="H73" s="8">
        <v>3.63</v>
      </c>
      <c r="I73" s="4">
        <v>0</v>
      </c>
    </row>
    <row r="74" spans="1:9" x14ac:dyDescent="0.2">
      <c r="A74" s="2">
        <v>6</v>
      </c>
      <c r="B74" s="1" t="s">
        <v>175</v>
      </c>
      <c r="C74" s="4">
        <v>84</v>
      </c>
      <c r="D74" s="8">
        <v>2.46</v>
      </c>
      <c r="E74" s="4">
        <v>75</v>
      </c>
      <c r="F74" s="8">
        <v>6.58</v>
      </c>
      <c r="G74" s="4">
        <v>9</v>
      </c>
      <c r="H74" s="8">
        <v>0.4</v>
      </c>
      <c r="I74" s="4">
        <v>0</v>
      </c>
    </row>
    <row r="75" spans="1:9" x14ac:dyDescent="0.2">
      <c r="A75" s="2">
        <v>7</v>
      </c>
      <c r="B75" s="1" t="s">
        <v>165</v>
      </c>
      <c r="C75" s="4">
        <v>81</v>
      </c>
      <c r="D75" s="8">
        <v>2.38</v>
      </c>
      <c r="E75" s="4">
        <v>69</v>
      </c>
      <c r="F75" s="8">
        <v>6.05</v>
      </c>
      <c r="G75" s="4">
        <v>12</v>
      </c>
      <c r="H75" s="8">
        <v>0.53</v>
      </c>
      <c r="I75" s="4">
        <v>0</v>
      </c>
    </row>
    <row r="76" spans="1:9" x14ac:dyDescent="0.2">
      <c r="A76" s="2">
        <v>8</v>
      </c>
      <c r="B76" s="1" t="s">
        <v>170</v>
      </c>
      <c r="C76" s="4">
        <v>79</v>
      </c>
      <c r="D76" s="8">
        <v>2.3199999999999998</v>
      </c>
      <c r="E76" s="4">
        <v>49</v>
      </c>
      <c r="F76" s="8">
        <v>4.3</v>
      </c>
      <c r="G76" s="4">
        <v>30</v>
      </c>
      <c r="H76" s="8">
        <v>1.33</v>
      </c>
      <c r="I76" s="4">
        <v>0</v>
      </c>
    </row>
    <row r="77" spans="1:9" x14ac:dyDescent="0.2">
      <c r="A77" s="2">
        <v>9</v>
      </c>
      <c r="B77" s="1" t="s">
        <v>162</v>
      </c>
      <c r="C77" s="4">
        <v>76</v>
      </c>
      <c r="D77" s="8">
        <v>2.23</v>
      </c>
      <c r="E77" s="4">
        <v>25</v>
      </c>
      <c r="F77" s="8">
        <v>2.19</v>
      </c>
      <c r="G77" s="4">
        <v>51</v>
      </c>
      <c r="H77" s="8">
        <v>2.25</v>
      </c>
      <c r="I77" s="4">
        <v>0</v>
      </c>
    </row>
    <row r="78" spans="1:9" x14ac:dyDescent="0.2">
      <c r="A78" s="2">
        <v>10</v>
      </c>
      <c r="B78" s="1" t="s">
        <v>174</v>
      </c>
      <c r="C78" s="4">
        <v>66</v>
      </c>
      <c r="D78" s="8">
        <v>1.94</v>
      </c>
      <c r="E78" s="4">
        <v>2</v>
      </c>
      <c r="F78" s="8">
        <v>0.18</v>
      </c>
      <c r="G78" s="4">
        <v>63</v>
      </c>
      <c r="H78" s="8">
        <v>2.79</v>
      </c>
      <c r="I78" s="4">
        <v>1</v>
      </c>
    </row>
    <row r="79" spans="1:9" x14ac:dyDescent="0.2">
      <c r="A79" s="2">
        <v>11</v>
      </c>
      <c r="B79" s="1" t="s">
        <v>171</v>
      </c>
      <c r="C79" s="4">
        <v>65</v>
      </c>
      <c r="D79" s="8">
        <v>1.91</v>
      </c>
      <c r="E79" s="4">
        <v>51</v>
      </c>
      <c r="F79" s="8">
        <v>4.47</v>
      </c>
      <c r="G79" s="4">
        <v>14</v>
      </c>
      <c r="H79" s="8">
        <v>0.62</v>
      </c>
      <c r="I79" s="4">
        <v>0</v>
      </c>
    </row>
    <row r="80" spans="1:9" x14ac:dyDescent="0.2">
      <c r="A80" s="2">
        <v>12</v>
      </c>
      <c r="B80" s="1" t="s">
        <v>158</v>
      </c>
      <c r="C80" s="4">
        <v>59</v>
      </c>
      <c r="D80" s="8">
        <v>1.73</v>
      </c>
      <c r="E80" s="4">
        <v>34</v>
      </c>
      <c r="F80" s="8">
        <v>2.98</v>
      </c>
      <c r="G80" s="4">
        <v>25</v>
      </c>
      <c r="H80" s="8">
        <v>1.1100000000000001</v>
      </c>
      <c r="I80" s="4">
        <v>0</v>
      </c>
    </row>
    <row r="81" spans="1:9" x14ac:dyDescent="0.2">
      <c r="A81" s="2">
        <v>12</v>
      </c>
      <c r="B81" s="1" t="s">
        <v>164</v>
      </c>
      <c r="C81" s="4">
        <v>59</v>
      </c>
      <c r="D81" s="8">
        <v>1.73</v>
      </c>
      <c r="E81" s="4">
        <v>44</v>
      </c>
      <c r="F81" s="8">
        <v>3.86</v>
      </c>
      <c r="G81" s="4">
        <v>15</v>
      </c>
      <c r="H81" s="8">
        <v>0.66</v>
      </c>
      <c r="I81" s="4">
        <v>0</v>
      </c>
    </row>
    <row r="82" spans="1:9" x14ac:dyDescent="0.2">
      <c r="A82" s="2">
        <v>14</v>
      </c>
      <c r="B82" s="1" t="s">
        <v>181</v>
      </c>
      <c r="C82" s="4">
        <v>58</v>
      </c>
      <c r="D82" s="8">
        <v>1.7</v>
      </c>
      <c r="E82" s="4">
        <v>53</v>
      </c>
      <c r="F82" s="8">
        <v>4.6500000000000004</v>
      </c>
      <c r="G82" s="4">
        <v>5</v>
      </c>
      <c r="H82" s="8">
        <v>0.22</v>
      </c>
      <c r="I82" s="4">
        <v>0</v>
      </c>
    </row>
    <row r="83" spans="1:9" x14ac:dyDescent="0.2">
      <c r="A83" s="2">
        <v>14</v>
      </c>
      <c r="B83" s="1" t="s">
        <v>178</v>
      </c>
      <c r="C83" s="4">
        <v>58</v>
      </c>
      <c r="D83" s="8">
        <v>1.7</v>
      </c>
      <c r="E83" s="4">
        <v>4</v>
      </c>
      <c r="F83" s="8">
        <v>0.35</v>
      </c>
      <c r="G83" s="4">
        <v>54</v>
      </c>
      <c r="H83" s="8">
        <v>2.39</v>
      </c>
      <c r="I83" s="4">
        <v>0</v>
      </c>
    </row>
    <row r="84" spans="1:9" x14ac:dyDescent="0.2">
      <c r="A84" s="2">
        <v>16</v>
      </c>
      <c r="B84" s="1" t="s">
        <v>180</v>
      </c>
      <c r="C84" s="4">
        <v>57</v>
      </c>
      <c r="D84" s="8">
        <v>1.67</v>
      </c>
      <c r="E84" s="4">
        <v>1</v>
      </c>
      <c r="F84" s="8">
        <v>0.09</v>
      </c>
      <c r="G84" s="4">
        <v>54</v>
      </c>
      <c r="H84" s="8">
        <v>2.39</v>
      </c>
      <c r="I84" s="4">
        <v>2</v>
      </c>
    </row>
    <row r="85" spans="1:9" x14ac:dyDescent="0.2">
      <c r="A85" s="2">
        <v>17</v>
      </c>
      <c r="B85" s="1" t="s">
        <v>173</v>
      </c>
      <c r="C85" s="4">
        <v>53</v>
      </c>
      <c r="D85" s="8">
        <v>1.55</v>
      </c>
      <c r="E85" s="4">
        <v>4</v>
      </c>
      <c r="F85" s="8">
        <v>0.35</v>
      </c>
      <c r="G85" s="4">
        <v>49</v>
      </c>
      <c r="H85" s="8">
        <v>2.17</v>
      </c>
      <c r="I85" s="4">
        <v>0</v>
      </c>
    </row>
    <row r="86" spans="1:9" x14ac:dyDescent="0.2">
      <c r="A86" s="2">
        <v>17</v>
      </c>
      <c r="B86" s="1" t="s">
        <v>179</v>
      </c>
      <c r="C86" s="4">
        <v>53</v>
      </c>
      <c r="D86" s="8">
        <v>1.55</v>
      </c>
      <c r="E86" s="4">
        <v>39</v>
      </c>
      <c r="F86" s="8">
        <v>3.42</v>
      </c>
      <c r="G86" s="4">
        <v>14</v>
      </c>
      <c r="H86" s="8">
        <v>0.62</v>
      </c>
      <c r="I86" s="4">
        <v>0</v>
      </c>
    </row>
    <row r="87" spans="1:9" x14ac:dyDescent="0.2">
      <c r="A87" s="2">
        <v>19</v>
      </c>
      <c r="B87" s="1" t="s">
        <v>177</v>
      </c>
      <c r="C87" s="4">
        <v>50</v>
      </c>
      <c r="D87" s="8">
        <v>1.47</v>
      </c>
      <c r="E87" s="4">
        <v>0</v>
      </c>
      <c r="F87" s="8">
        <v>0</v>
      </c>
      <c r="G87" s="4">
        <v>50</v>
      </c>
      <c r="H87" s="8">
        <v>2.21</v>
      </c>
      <c r="I87" s="4">
        <v>0</v>
      </c>
    </row>
    <row r="88" spans="1:9" x14ac:dyDescent="0.2">
      <c r="A88" s="2">
        <v>20</v>
      </c>
      <c r="B88" s="1" t="s">
        <v>182</v>
      </c>
      <c r="C88" s="4">
        <v>46</v>
      </c>
      <c r="D88" s="8">
        <v>1.35</v>
      </c>
      <c r="E88" s="4">
        <v>43</v>
      </c>
      <c r="F88" s="8">
        <v>3.77</v>
      </c>
      <c r="G88" s="4">
        <v>3</v>
      </c>
      <c r="H88" s="8">
        <v>0.13</v>
      </c>
      <c r="I88" s="4">
        <v>0</v>
      </c>
    </row>
    <row r="89" spans="1:9" x14ac:dyDescent="0.2">
      <c r="A89" s="2">
        <v>20</v>
      </c>
      <c r="B89" s="1" t="s">
        <v>183</v>
      </c>
      <c r="C89" s="4">
        <v>46</v>
      </c>
      <c r="D89" s="8">
        <v>1.35</v>
      </c>
      <c r="E89" s="4">
        <v>18</v>
      </c>
      <c r="F89" s="8">
        <v>1.58</v>
      </c>
      <c r="G89" s="4">
        <v>28</v>
      </c>
      <c r="H89" s="8">
        <v>1.24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161</v>
      </c>
      <c r="C92" s="4">
        <v>205</v>
      </c>
      <c r="D92" s="8">
        <v>4.9000000000000004</v>
      </c>
      <c r="E92" s="4">
        <v>71</v>
      </c>
      <c r="F92" s="8">
        <v>3.89</v>
      </c>
      <c r="G92" s="4">
        <v>133</v>
      </c>
      <c r="H92" s="8">
        <v>5.65</v>
      </c>
      <c r="I92" s="4">
        <v>1</v>
      </c>
    </row>
    <row r="93" spans="1:9" x14ac:dyDescent="0.2">
      <c r="A93" s="2">
        <v>2</v>
      </c>
      <c r="B93" s="1" t="s">
        <v>168</v>
      </c>
      <c r="C93" s="4">
        <v>160</v>
      </c>
      <c r="D93" s="8">
        <v>3.82</v>
      </c>
      <c r="E93" s="4">
        <v>139</v>
      </c>
      <c r="F93" s="8">
        <v>7.61</v>
      </c>
      <c r="G93" s="4">
        <v>21</v>
      </c>
      <c r="H93" s="8">
        <v>0.89</v>
      </c>
      <c r="I93" s="4">
        <v>0</v>
      </c>
    </row>
    <row r="94" spans="1:9" x14ac:dyDescent="0.2">
      <c r="A94" s="2">
        <v>3</v>
      </c>
      <c r="B94" s="1" t="s">
        <v>165</v>
      </c>
      <c r="C94" s="4">
        <v>145</v>
      </c>
      <c r="D94" s="8">
        <v>3.46</v>
      </c>
      <c r="E94" s="4">
        <v>142</v>
      </c>
      <c r="F94" s="8">
        <v>7.78</v>
      </c>
      <c r="G94" s="4">
        <v>3</v>
      </c>
      <c r="H94" s="8">
        <v>0.13</v>
      </c>
      <c r="I94" s="4">
        <v>0</v>
      </c>
    </row>
    <row r="95" spans="1:9" x14ac:dyDescent="0.2">
      <c r="A95" s="2">
        <v>4</v>
      </c>
      <c r="B95" s="1" t="s">
        <v>171</v>
      </c>
      <c r="C95" s="4">
        <v>125</v>
      </c>
      <c r="D95" s="8">
        <v>2.99</v>
      </c>
      <c r="E95" s="4">
        <v>103</v>
      </c>
      <c r="F95" s="8">
        <v>5.64</v>
      </c>
      <c r="G95" s="4">
        <v>22</v>
      </c>
      <c r="H95" s="8">
        <v>0.93</v>
      </c>
      <c r="I95" s="4">
        <v>0</v>
      </c>
    </row>
    <row r="96" spans="1:9" x14ac:dyDescent="0.2">
      <c r="A96" s="2">
        <v>5</v>
      </c>
      <c r="B96" s="1" t="s">
        <v>164</v>
      </c>
      <c r="C96" s="4">
        <v>114</v>
      </c>
      <c r="D96" s="8">
        <v>2.72</v>
      </c>
      <c r="E96" s="4">
        <v>108</v>
      </c>
      <c r="F96" s="8">
        <v>5.91</v>
      </c>
      <c r="G96" s="4">
        <v>6</v>
      </c>
      <c r="H96" s="8">
        <v>0.25</v>
      </c>
      <c r="I96" s="4">
        <v>0</v>
      </c>
    </row>
    <row r="97" spans="1:9" x14ac:dyDescent="0.2">
      <c r="A97" s="2">
        <v>6</v>
      </c>
      <c r="B97" s="1" t="s">
        <v>154</v>
      </c>
      <c r="C97" s="4">
        <v>101</v>
      </c>
      <c r="D97" s="8">
        <v>2.41</v>
      </c>
      <c r="E97" s="4">
        <v>11</v>
      </c>
      <c r="F97" s="8">
        <v>0.6</v>
      </c>
      <c r="G97" s="4">
        <v>90</v>
      </c>
      <c r="H97" s="8">
        <v>3.82</v>
      </c>
      <c r="I97" s="4">
        <v>0</v>
      </c>
    </row>
    <row r="98" spans="1:9" x14ac:dyDescent="0.2">
      <c r="A98" s="2">
        <v>7</v>
      </c>
      <c r="B98" s="1" t="s">
        <v>163</v>
      </c>
      <c r="C98" s="4">
        <v>95</v>
      </c>
      <c r="D98" s="8">
        <v>2.27</v>
      </c>
      <c r="E98" s="4">
        <v>77</v>
      </c>
      <c r="F98" s="8">
        <v>4.22</v>
      </c>
      <c r="G98" s="4">
        <v>18</v>
      </c>
      <c r="H98" s="8">
        <v>0.76</v>
      </c>
      <c r="I98" s="4">
        <v>0</v>
      </c>
    </row>
    <row r="99" spans="1:9" x14ac:dyDescent="0.2">
      <c r="A99" s="2">
        <v>8</v>
      </c>
      <c r="B99" s="1" t="s">
        <v>167</v>
      </c>
      <c r="C99" s="4">
        <v>91</v>
      </c>
      <c r="D99" s="8">
        <v>2.17</v>
      </c>
      <c r="E99" s="4">
        <v>89</v>
      </c>
      <c r="F99" s="8">
        <v>4.87</v>
      </c>
      <c r="G99" s="4">
        <v>2</v>
      </c>
      <c r="H99" s="8">
        <v>0.08</v>
      </c>
      <c r="I99" s="4">
        <v>0</v>
      </c>
    </row>
    <row r="100" spans="1:9" x14ac:dyDescent="0.2">
      <c r="A100" s="2">
        <v>9</v>
      </c>
      <c r="B100" s="1" t="s">
        <v>170</v>
      </c>
      <c r="C100" s="4">
        <v>85</v>
      </c>
      <c r="D100" s="8">
        <v>2.0299999999999998</v>
      </c>
      <c r="E100" s="4">
        <v>66</v>
      </c>
      <c r="F100" s="8">
        <v>3.61</v>
      </c>
      <c r="G100" s="4">
        <v>19</v>
      </c>
      <c r="H100" s="8">
        <v>0.81</v>
      </c>
      <c r="I100" s="4">
        <v>0</v>
      </c>
    </row>
    <row r="101" spans="1:9" x14ac:dyDescent="0.2">
      <c r="A101" s="2">
        <v>10</v>
      </c>
      <c r="B101" s="1" t="s">
        <v>155</v>
      </c>
      <c r="C101" s="4">
        <v>81</v>
      </c>
      <c r="D101" s="8">
        <v>1.94</v>
      </c>
      <c r="E101" s="4">
        <v>10</v>
      </c>
      <c r="F101" s="8">
        <v>0.55000000000000004</v>
      </c>
      <c r="G101" s="4">
        <v>71</v>
      </c>
      <c r="H101" s="8">
        <v>3.02</v>
      </c>
      <c r="I101" s="4">
        <v>0</v>
      </c>
    </row>
    <row r="102" spans="1:9" x14ac:dyDescent="0.2">
      <c r="A102" s="2">
        <v>11</v>
      </c>
      <c r="B102" s="1" t="s">
        <v>184</v>
      </c>
      <c r="C102" s="4">
        <v>74</v>
      </c>
      <c r="D102" s="8">
        <v>1.77</v>
      </c>
      <c r="E102" s="4">
        <v>13</v>
      </c>
      <c r="F102" s="8">
        <v>0.71</v>
      </c>
      <c r="G102" s="4">
        <v>61</v>
      </c>
      <c r="H102" s="8">
        <v>2.59</v>
      </c>
      <c r="I102" s="4">
        <v>0</v>
      </c>
    </row>
    <row r="103" spans="1:9" x14ac:dyDescent="0.2">
      <c r="A103" s="2">
        <v>12</v>
      </c>
      <c r="B103" s="1" t="s">
        <v>158</v>
      </c>
      <c r="C103" s="4">
        <v>72</v>
      </c>
      <c r="D103" s="8">
        <v>1.72</v>
      </c>
      <c r="E103" s="4">
        <v>49</v>
      </c>
      <c r="F103" s="8">
        <v>2.68</v>
      </c>
      <c r="G103" s="4">
        <v>23</v>
      </c>
      <c r="H103" s="8">
        <v>0.98</v>
      </c>
      <c r="I103" s="4">
        <v>0</v>
      </c>
    </row>
    <row r="104" spans="1:9" x14ac:dyDescent="0.2">
      <c r="A104" s="2">
        <v>13</v>
      </c>
      <c r="B104" s="1" t="s">
        <v>162</v>
      </c>
      <c r="C104" s="4">
        <v>68</v>
      </c>
      <c r="D104" s="8">
        <v>1.62</v>
      </c>
      <c r="E104" s="4">
        <v>32</v>
      </c>
      <c r="F104" s="8">
        <v>1.75</v>
      </c>
      <c r="G104" s="4">
        <v>35</v>
      </c>
      <c r="H104" s="8">
        <v>1.49</v>
      </c>
      <c r="I104" s="4">
        <v>0</v>
      </c>
    </row>
    <row r="105" spans="1:9" x14ac:dyDescent="0.2">
      <c r="A105" s="2">
        <v>14</v>
      </c>
      <c r="B105" s="1" t="s">
        <v>186</v>
      </c>
      <c r="C105" s="4">
        <v>64</v>
      </c>
      <c r="D105" s="8">
        <v>1.53</v>
      </c>
      <c r="E105" s="4">
        <v>36</v>
      </c>
      <c r="F105" s="8">
        <v>1.97</v>
      </c>
      <c r="G105" s="4">
        <v>28</v>
      </c>
      <c r="H105" s="8">
        <v>1.19</v>
      </c>
      <c r="I105" s="4">
        <v>0</v>
      </c>
    </row>
    <row r="106" spans="1:9" x14ac:dyDescent="0.2">
      <c r="A106" s="2">
        <v>14</v>
      </c>
      <c r="B106" s="1" t="s">
        <v>175</v>
      </c>
      <c r="C106" s="4">
        <v>64</v>
      </c>
      <c r="D106" s="8">
        <v>1.53</v>
      </c>
      <c r="E106" s="4">
        <v>62</v>
      </c>
      <c r="F106" s="8">
        <v>3.4</v>
      </c>
      <c r="G106" s="4">
        <v>2</v>
      </c>
      <c r="H106" s="8">
        <v>0.08</v>
      </c>
      <c r="I106" s="4">
        <v>0</v>
      </c>
    </row>
    <row r="107" spans="1:9" x14ac:dyDescent="0.2">
      <c r="A107" s="2">
        <v>16</v>
      </c>
      <c r="B107" s="1" t="s">
        <v>185</v>
      </c>
      <c r="C107" s="4">
        <v>60</v>
      </c>
      <c r="D107" s="8">
        <v>1.43</v>
      </c>
      <c r="E107" s="4">
        <v>18</v>
      </c>
      <c r="F107" s="8">
        <v>0.99</v>
      </c>
      <c r="G107" s="4">
        <v>42</v>
      </c>
      <c r="H107" s="8">
        <v>1.78</v>
      </c>
      <c r="I107" s="4">
        <v>0</v>
      </c>
    </row>
    <row r="108" spans="1:9" x14ac:dyDescent="0.2">
      <c r="A108" s="2">
        <v>17</v>
      </c>
      <c r="B108" s="1" t="s">
        <v>173</v>
      </c>
      <c r="C108" s="4">
        <v>58</v>
      </c>
      <c r="D108" s="8">
        <v>1.39</v>
      </c>
      <c r="E108" s="4">
        <v>7</v>
      </c>
      <c r="F108" s="8">
        <v>0.38</v>
      </c>
      <c r="G108" s="4">
        <v>51</v>
      </c>
      <c r="H108" s="8">
        <v>2.17</v>
      </c>
      <c r="I108" s="4">
        <v>0</v>
      </c>
    </row>
    <row r="109" spans="1:9" x14ac:dyDescent="0.2">
      <c r="A109" s="2">
        <v>18</v>
      </c>
      <c r="B109" s="1" t="s">
        <v>174</v>
      </c>
      <c r="C109" s="4">
        <v>57</v>
      </c>
      <c r="D109" s="8">
        <v>1.36</v>
      </c>
      <c r="E109" s="4">
        <v>4</v>
      </c>
      <c r="F109" s="8">
        <v>0.22</v>
      </c>
      <c r="G109" s="4">
        <v>53</v>
      </c>
      <c r="H109" s="8">
        <v>2.25</v>
      </c>
      <c r="I109" s="4">
        <v>0</v>
      </c>
    </row>
    <row r="110" spans="1:9" x14ac:dyDescent="0.2">
      <c r="A110" s="2">
        <v>19</v>
      </c>
      <c r="B110" s="1" t="s">
        <v>153</v>
      </c>
      <c r="C110" s="4">
        <v>55</v>
      </c>
      <c r="D110" s="8">
        <v>1.31</v>
      </c>
      <c r="E110" s="4">
        <v>6</v>
      </c>
      <c r="F110" s="8">
        <v>0.33</v>
      </c>
      <c r="G110" s="4">
        <v>49</v>
      </c>
      <c r="H110" s="8">
        <v>2.08</v>
      </c>
      <c r="I110" s="4">
        <v>0</v>
      </c>
    </row>
    <row r="111" spans="1:9" x14ac:dyDescent="0.2">
      <c r="A111" s="2">
        <v>19</v>
      </c>
      <c r="B111" s="1" t="s">
        <v>160</v>
      </c>
      <c r="C111" s="4">
        <v>55</v>
      </c>
      <c r="D111" s="8">
        <v>1.31</v>
      </c>
      <c r="E111" s="4">
        <v>5</v>
      </c>
      <c r="F111" s="8">
        <v>0.27</v>
      </c>
      <c r="G111" s="4">
        <v>50</v>
      </c>
      <c r="H111" s="8">
        <v>2.12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161</v>
      </c>
      <c r="C114" s="4">
        <v>221</v>
      </c>
      <c r="D114" s="8">
        <v>4.67</v>
      </c>
      <c r="E114" s="4">
        <v>67</v>
      </c>
      <c r="F114" s="8">
        <v>3.69</v>
      </c>
      <c r="G114" s="4">
        <v>154</v>
      </c>
      <c r="H114" s="8">
        <v>5.3</v>
      </c>
      <c r="I114" s="4">
        <v>0</v>
      </c>
    </row>
    <row r="115" spans="1:9" x14ac:dyDescent="0.2">
      <c r="A115" s="2">
        <v>2</v>
      </c>
      <c r="B115" s="1" t="s">
        <v>165</v>
      </c>
      <c r="C115" s="4">
        <v>155</v>
      </c>
      <c r="D115" s="8">
        <v>3.28</v>
      </c>
      <c r="E115" s="4">
        <v>141</v>
      </c>
      <c r="F115" s="8">
        <v>7.76</v>
      </c>
      <c r="G115" s="4">
        <v>14</v>
      </c>
      <c r="H115" s="8">
        <v>0.48</v>
      </c>
      <c r="I115" s="4">
        <v>0</v>
      </c>
    </row>
    <row r="116" spans="1:9" x14ac:dyDescent="0.2">
      <c r="A116" s="2">
        <v>3</v>
      </c>
      <c r="B116" s="1" t="s">
        <v>168</v>
      </c>
      <c r="C116" s="4">
        <v>148</v>
      </c>
      <c r="D116" s="8">
        <v>3.13</v>
      </c>
      <c r="E116" s="4">
        <v>119</v>
      </c>
      <c r="F116" s="8">
        <v>6.55</v>
      </c>
      <c r="G116" s="4">
        <v>29</v>
      </c>
      <c r="H116" s="8">
        <v>1</v>
      </c>
      <c r="I116" s="4">
        <v>0</v>
      </c>
    </row>
    <row r="117" spans="1:9" x14ac:dyDescent="0.2">
      <c r="A117" s="2">
        <v>4</v>
      </c>
      <c r="B117" s="1" t="s">
        <v>163</v>
      </c>
      <c r="C117" s="4">
        <v>140</v>
      </c>
      <c r="D117" s="8">
        <v>2.96</v>
      </c>
      <c r="E117" s="4">
        <v>106</v>
      </c>
      <c r="F117" s="8">
        <v>5.83</v>
      </c>
      <c r="G117" s="4">
        <v>34</v>
      </c>
      <c r="H117" s="8">
        <v>1.17</v>
      </c>
      <c r="I117" s="4">
        <v>0</v>
      </c>
    </row>
    <row r="118" spans="1:9" x14ac:dyDescent="0.2">
      <c r="A118" s="2">
        <v>5</v>
      </c>
      <c r="B118" s="1" t="s">
        <v>164</v>
      </c>
      <c r="C118" s="4">
        <v>113</v>
      </c>
      <c r="D118" s="8">
        <v>2.39</v>
      </c>
      <c r="E118" s="4">
        <v>100</v>
      </c>
      <c r="F118" s="8">
        <v>5.5</v>
      </c>
      <c r="G118" s="4">
        <v>13</v>
      </c>
      <c r="H118" s="8">
        <v>0.45</v>
      </c>
      <c r="I118" s="4">
        <v>0</v>
      </c>
    </row>
    <row r="119" spans="1:9" x14ac:dyDescent="0.2">
      <c r="A119" s="2">
        <v>6</v>
      </c>
      <c r="B119" s="1" t="s">
        <v>171</v>
      </c>
      <c r="C119" s="4">
        <v>103</v>
      </c>
      <c r="D119" s="8">
        <v>2.1800000000000002</v>
      </c>
      <c r="E119" s="4">
        <v>82</v>
      </c>
      <c r="F119" s="8">
        <v>4.51</v>
      </c>
      <c r="G119" s="4">
        <v>21</v>
      </c>
      <c r="H119" s="8">
        <v>0.72</v>
      </c>
      <c r="I119" s="4">
        <v>0</v>
      </c>
    </row>
    <row r="120" spans="1:9" x14ac:dyDescent="0.2">
      <c r="A120" s="2">
        <v>7</v>
      </c>
      <c r="B120" s="1" t="s">
        <v>167</v>
      </c>
      <c r="C120" s="4">
        <v>94</v>
      </c>
      <c r="D120" s="8">
        <v>1.99</v>
      </c>
      <c r="E120" s="4">
        <v>90</v>
      </c>
      <c r="F120" s="8">
        <v>4.95</v>
      </c>
      <c r="G120" s="4">
        <v>4</v>
      </c>
      <c r="H120" s="8">
        <v>0.14000000000000001</v>
      </c>
      <c r="I120" s="4">
        <v>0</v>
      </c>
    </row>
    <row r="121" spans="1:9" x14ac:dyDescent="0.2">
      <c r="A121" s="2">
        <v>8</v>
      </c>
      <c r="B121" s="1" t="s">
        <v>170</v>
      </c>
      <c r="C121" s="4">
        <v>84</v>
      </c>
      <c r="D121" s="8">
        <v>1.78</v>
      </c>
      <c r="E121" s="4">
        <v>59</v>
      </c>
      <c r="F121" s="8">
        <v>3.25</v>
      </c>
      <c r="G121" s="4">
        <v>25</v>
      </c>
      <c r="H121" s="8">
        <v>0.86</v>
      </c>
      <c r="I121" s="4">
        <v>0</v>
      </c>
    </row>
    <row r="122" spans="1:9" x14ac:dyDescent="0.2">
      <c r="A122" s="2">
        <v>9</v>
      </c>
      <c r="B122" s="1" t="s">
        <v>160</v>
      </c>
      <c r="C122" s="4">
        <v>81</v>
      </c>
      <c r="D122" s="8">
        <v>1.71</v>
      </c>
      <c r="E122" s="4">
        <v>10</v>
      </c>
      <c r="F122" s="8">
        <v>0.55000000000000004</v>
      </c>
      <c r="G122" s="4">
        <v>71</v>
      </c>
      <c r="H122" s="8">
        <v>2.44</v>
      </c>
      <c r="I122" s="4">
        <v>0</v>
      </c>
    </row>
    <row r="123" spans="1:9" x14ac:dyDescent="0.2">
      <c r="A123" s="2">
        <v>10</v>
      </c>
      <c r="B123" s="1" t="s">
        <v>185</v>
      </c>
      <c r="C123" s="4">
        <v>79</v>
      </c>
      <c r="D123" s="8">
        <v>1.67</v>
      </c>
      <c r="E123" s="4">
        <v>21</v>
      </c>
      <c r="F123" s="8">
        <v>1.1599999999999999</v>
      </c>
      <c r="G123" s="4">
        <v>58</v>
      </c>
      <c r="H123" s="8">
        <v>2</v>
      </c>
      <c r="I123" s="4">
        <v>0</v>
      </c>
    </row>
    <row r="124" spans="1:9" x14ac:dyDescent="0.2">
      <c r="A124" s="2">
        <v>11</v>
      </c>
      <c r="B124" s="1" t="s">
        <v>187</v>
      </c>
      <c r="C124" s="4">
        <v>77</v>
      </c>
      <c r="D124" s="8">
        <v>1.63</v>
      </c>
      <c r="E124" s="4">
        <v>12</v>
      </c>
      <c r="F124" s="8">
        <v>0.66</v>
      </c>
      <c r="G124" s="4">
        <v>65</v>
      </c>
      <c r="H124" s="8">
        <v>2.2400000000000002</v>
      </c>
      <c r="I124" s="4">
        <v>0</v>
      </c>
    </row>
    <row r="125" spans="1:9" x14ac:dyDescent="0.2">
      <c r="A125" s="2">
        <v>12</v>
      </c>
      <c r="B125" s="1" t="s">
        <v>155</v>
      </c>
      <c r="C125" s="4">
        <v>73</v>
      </c>
      <c r="D125" s="8">
        <v>1.54</v>
      </c>
      <c r="E125" s="4">
        <v>8</v>
      </c>
      <c r="F125" s="8">
        <v>0.44</v>
      </c>
      <c r="G125" s="4">
        <v>65</v>
      </c>
      <c r="H125" s="8">
        <v>2.2400000000000002</v>
      </c>
      <c r="I125" s="4">
        <v>0</v>
      </c>
    </row>
    <row r="126" spans="1:9" x14ac:dyDescent="0.2">
      <c r="A126" s="2">
        <v>13</v>
      </c>
      <c r="B126" s="1" t="s">
        <v>153</v>
      </c>
      <c r="C126" s="4">
        <v>71</v>
      </c>
      <c r="D126" s="8">
        <v>1.5</v>
      </c>
      <c r="E126" s="4">
        <v>2</v>
      </c>
      <c r="F126" s="8">
        <v>0.11</v>
      </c>
      <c r="G126" s="4">
        <v>69</v>
      </c>
      <c r="H126" s="8">
        <v>2.38</v>
      </c>
      <c r="I126" s="4">
        <v>0</v>
      </c>
    </row>
    <row r="127" spans="1:9" x14ac:dyDescent="0.2">
      <c r="A127" s="2">
        <v>14</v>
      </c>
      <c r="B127" s="1" t="s">
        <v>154</v>
      </c>
      <c r="C127" s="4">
        <v>68</v>
      </c>
      <c r="D127" s="8">
        <v>1.44</v>
      </c>
      <c r="E127" s="4">
        <v>10</v>
      </c>
      <c r="F127" s="8">
        <v>0.55000000000000004</v>
      </c>
      <c r="G127" s="4">
        <v>58</v>
      </c>
      <c r="H127" s="8">
        <v>2</v>
      </c>
      <c r="I127" s="4">
        <v>0</v>
      </c>
    </row>
    <row r="128" spans="1:9" x14ac:dyDescent="0.2">
      <c r="A128" s="2">
        <v>15</v>
      </c>
      <c r="B128" s="1" t="s">
        <v>173</v>
      </c>
      <c r="C128" s="4">
        <v>66</v>
      </c>
      <c r="D128" s="8">
        <v>1.4</v>
      </c>
      <c r="E128" s="4">
        <v>13</v>
      </c>
      <c r="F128" s="8">
        <v>0.72</v>
      </c>
      <c r="G128" s="4">
        <v>53</v>
      </c>
      <c r="H128" s="8">
        <v>1.83</v>
      </c>
      <c r="I128" s="4">
        <v>0</v>
      </c>
    </row>
    <row r="129" spans="1:9" x14ac:dyDescent="0.2">
      <c r="A129" s="2">
        <v>16</v>
      </c>
      <c r="B129" s="1" t="s">
        <v>172</v>
      </c>
      <c r="C129" s="4">
        <v>62</v>
      </c>
      <c r="D129" s="8">
        <v>1.31</v>
      </c>
      <c r="E129" s="4">
        <v>6</v>
      </c>
      <c r="F129" s="8">
        <v>0.33</v>
      </c>
      <c r="G129" s="4">
        <v>56</v>
      </c>
      <c r="H129" s="8">
        <v>1.93</v>
      </c>
      <c r="I129" s="4">
        <v>0</v>
      </c>
    </row>
    <row r="130" spans="1:9" x14ac:dyDescent="0.2">
      <c r="A130" s="2">
        <v>16</v>
      </c>
      <c r="B130" s="1" t="s">
        <v>188</v>
      </c>
      <c r="C130" s="4">
        <v>62</v>
      </c>
      <c r="D130" s="8">
        <v>1.31</v>
      </c>
      <c r="E130" s="4">
        <v>36</v>
      </c>
      <c r="F130" s="8">
        <v>1.98</v>
      </c>
      <c r="G130" s="4">
        <v>26</v>
      </c>
      <c r="H130" s="8">
        <v>0.9</v>
      </c>
      <c r="I130" s="4">
        <v>0</v>
      </c>
    </row>
    <row r="131" spans="1:9" x14ac:dyDescent="0.2">
      <c r="A131" s="2">
        <v>18</v>
      </c>
      <c r="B131" s="1" t="s">
        <v>162</v>
      </c>
      <c r="C131" s="4">
        <v>60</v>
      </c>
      <c r="D131" s="8">
        <v>1.27</v>
      </c>
      <c r="E131" s="4">
        <v>19</v>
      </c>
      <c r="F131" s="8">
        <v>1.05</v>
      </c>
      <c r="G131" s="4">
        <v>41</v>
      </c>
      <c r="H131" s="8">
        <v>1.41</v>
      </c>
      <c r="I131" s="4">
        <v>0</v>
      </c>
    </row>
    <row r="132" spans="1:9" x14ac:dyDescent="0.2">
      <c r="A132" s="2">
        <v>19</v>
      </c>
      <c r="B132" s="1" t="s">
        <v>175</v>
      </c>
      <c r="C132" s="4">
        <v>59</v>
      </c>
      <c r="D132" s="8">
        <v>1.25</v>
      </c>
      <c r="E132" s="4">
        <v>56</v>
      </c>
      <c r="F132" s="8">
        <v>3.08</v>
      </c>
      <c r="G132" s="4">
        <v>3</v>
      </c>
      <c r="H132" s="8">
        <v>0.1</v>
      </c>
      <c r="I132" s="4">
        <v>0</v>
      </c>
    </row>
    <row r="133" spans="1:9" x14ac:dyDescent="0.2">
      <c r="A133" s="2">
        <v>20</v>
      </c>
      <c r="B133" s="1" t="s">
        <v>157</v>
      </c>
      <c r="C133" s="4">
        <v>56</v>
      </c>
      <c r="D133" s="8">
        <v>1.18</v>
      </c>
      <c r="E133" s="4">
        <v>25</v>
      </c>
      <c r="F133" s="8">
        <v>1.38</v>
      </c>
      <c r="G133" s="4">
        <v>31</v>
      </c>
      <c r="H133" s="8">
        <v>1.07</v>
      </c>
      <c r="I133" s="4">
        <v>0</v>
      </c>
    </row>
    <row r="134" spans="1:9" x14ac:dyDescent="0.2">
      <c r="A134" s="2">
        <v>20</v>
      </c>
      <c r="B134" s="1" t="s">
        <v>158</v>
      </c>
      <c r="C134" s="4">
        <v>56</v>
      </c>
      <c r="D134" s="8">
        <v>1.18</v>
      </c>
      <c r="E134" s="4">
        <v>34</v>
      </c>
      <c r="F134" s="8">
        <v>1.87</v>
      </c>
      <c r="G134" s="4">
        <v>22</v>
      </c>
      <c r="H134" s="8">
        <v>0.76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161</v>
      </c>
      <c r="C137" s="4">
        <v>212</v>
      </c>
      <c r="D137" s="8">
        <v>4.04</v>
      </c>
      <c r="E137" s="4">
        <v>44</v>
      </c>
      <c r="F137" s="8">
        <v>2.5099999999999998</v>
      </c>
      <c r="G137" s="4">
        <v>168</v>
      </c>
      <c r="H137" s="8">
        <v>4.84</v>
      </c>
      <c r="I137" s="4">
        <v>0</v>
      </c>
    </row>
    <row r="138" spans="1:9" x14ac:dyDescent="0.2">
      <c r="A138" s="2">
        <v>2</v>
      </c>
      <c r="B138" s="1" t="s">
        <v>168</v>
      </c>
      <c r="C138" s="4">
        <v>161</v>
      </c>
      <c r="D138" s="8">
        <v>3.07</v>
      </c>
      <c r="E138" s="4">
        <v>120</v>
      </c>
      <c r="F138" s="8">
        <v>6.84</v>
      </c>
      <c r="G138" s="4">
        <v>41</v>
      </c>
      <c r="H138" s="8">
        <v>1.18</v>
      </c>
      <c r="I138" s="4">
        <v>0</v>
      </c>
    </row>
    <row r="139" spans="1:9" x14ac:dyDescent="0.2">
      <c r="A139" s="2">
        <v>3</v>
      </c>
      <c r="B139" s="1" t="s">
        <v>163</v>
      </c>
      <c r="C139" s="4">
        <v>155</v>
      </c>
      <c r="D139" s="8">
        <v>2.96</v>
      </c>
      <c r="E139" s="4">
        <v>86</v>
      </c>
      <c r="F139" s="8">
        <v>4.9000000000000004</v>
      </c>
      <c r="G139" s="4">
        <v>69</v>
      </c>
      <c r="H139" s="8">
        <v>1.99</v>
      </c>
      <c r="I139" s="4">
        <v>0</v>
      </c>
    </row>
    <row r="140" spans="1:9" x14ac:dyDescent="0.2">
      <c r="A140" s="2">
        <v>4</v>
      </c>
      <c r="B140" s="1" t="s">
        <v>165</v>
      </c>
      <c r="C140" s="4">
        <v>144</v>
      </c>
      <c r="D140" s="8">
        <v>2.75</v>
      </c>
      <c r="E140" s="4">
        <v>129</v>
      </c>
      <c r="F140" s="8">
        <v>7.35</v>
      </c>
      <c r="G140" s="4">
        <v>15</v>
      </c>
      <c r="H140" s="8">
        <v>0.43</v>
      </c>
      <c r="I140" s="4">
        <v>0</v>
      </c>
    </row>
    <row r="141" spans="1:9" x14ac:dyDescent="0.2">
      <c r="A141" s="2">
        <v>5</v>
      </c>
      <c r="B141" s="1" t="s">
        <v>164</v>
      </c>
      <c r="C141" s="4">
        <v>143</v>
      </c>
      <c r="D141" s="8">
        <v>2.73</v>
      </c>
      <c r="E141" s="4">
        <v>94</v>
      </c>
      <c r="F141" s="8">
        <v>5.36</v>
      </c>
      <c r="G141" s="4">
        <v>49</v>
      </c>
      <c r="H141" s="8">
        <v>1.41</v>
      </c>
      <c r="I141" s="4">
        <v>0</v>
      </c>
    </row>
    <row r="142" spans="1:9" x14ac:dyDescent="0.2">
      <c r="A142" s="2">
        <v>6</v>
      </c>
      <c r="B142" s="1" t="s">
        <v>160</v>
      </c>
      <c r="C142" s="4">
        <v>130</v>
      </c>
      <c r="D142" s="8">
        <v>2.48</v>
      </c>
      <c r="E142" s="4">
        <v>9</v>
      </c>
      <c r="F142" s="8">
        <v>0.51</v>
      </c>
      <c r="G142" s="4">
        <v>120</v>
      </c>
      <c r="H142" s="8">
        <v>3.46</v>
      </c>
      <c r="I142" s="4">
        <v>1</v>
      </c>
    </row>
    <row r="143" spans="1:9" x14ac:dyDescent="0.2">
      <c r="A143" s="2">
        <v>7</v>
      </c>
      <c r="B143" s="1" t="s">
        <v>171</v>
      </c>
      <c r="C143" s="4">
        <v>114</v>
      </c>
      <c r="D143" s="8">
        <v>2.17</v>
      </c>
      <c r="E143" s="4">
        <v>97</v>
      </c>
      <c r="F143" s="8">
        <v>5.53</v>
      </c>
      <c r="G143" s="4">
        <v>17</v>
      </c>
      <c r="H143" s="8">
        <v>0.49</v>
      </c>
      <c r="I143" s="4">
        <v>0</v>
      </c>
    </row>
    <row r="144" spans="1:9" x14ac:dyDescent="0.2">
      <c r="A144" s="2">
        <v>8</v>
      </c>
      <c r="B144" s="1" t="s">
        <v>170</v>
      </c>
      <c r="C144" s="4">
        <v>105</v>
      </c>
      <c r="D144" s="8">
        <v>2</v>
      </c>
      <c r="E144" s="4">
        <v>71</v>
      </c>
      <c r="F144" s="8">
        <v>4.05</v>
      </c>
      <c r="G144" s="4">
        <v>32</v>
      </c>
      <c r="H144" s="8">
        <v>0.92</v>
      </c>
      <c r="I144" s="4">
        <v>2</v>
      </c>
    </row>
    <row r="145" spans="1:9" x14ac:dyDescent="0.2">
      <c r="A145" s="2">
        <v>9</v>
      </c>
      <c r="B145" s="1" t="s">
        <v>175</v>
      </c>
      <c r="C145" s="4">
        <v>92</v>
      </c>
      <c r="D145" s="8">
        <v>1.75</v>
      </c>
      <c r="E145" s="4">
        <v>81</v>
      </c>
      <c r="F145" s="8">
        <v>4.62</v>
      </c>
      <c r="G145" s="4">
        <v>11</v>
      </c>
      <c r="H145" s="8">
        <v>0.32</v>
      </c>
      <c r="I145" s="4">
        <v>0</v>
      </c>
    </row>
    <row r="146" spans="1:9" x14ac:dyDescent="0.2">
      <c r="A146" s="2">
        <v>10</v>
      </c>
      <c r="B146" s="1" t="s">
        <v>180</v>
      </c>
      <c r="C146" s="4">
        <v>88</v>
      </c>
      <c r="D146" s="8">
        <v>1.68</v>
      </c>
      <c r="E146" s="4">
        <v>6</v>
      </c>
      <c r="F146" s="8">
        <v>0.34</v>
      </c>
      <c r="G146" s="4">
        <v>78</v>
      </c>
      <c r="H146" s="8">
        <v>2.25</v>
      </c>
      <c r="I146" s="4">
        <v>3</v>
      </c>
    </row>
    <row r="147" spans="1:9" x14ac:dyDescent="0.2">
      <c r="A147" s="2">
        <v>11</v>
      </c>
      <c r="B147" s="1" t="s">
        <v>190</v>
      </c>
      <c r="C147" s="4">
        <v>84</v>
      </c>
      <c r="D147" s="8">
        <v>1.6</v>
      </c>
      <c r="E147" s="4">
        <v>2</v>
      </c>
      <c r="F147" s="8">
        <v>0.11</v>
      </c>
      <c r="G147" s="4">
        <v>82</v>
      </c>
      <c r="H147" s="8">
        <v>2.36</v>
      </c>
      <c r="I147" s="4">
        <v>0</v>
      </c>
    </row>
    <row r="148" spans="1:9" x14ac:dyDescent="0.2">
      <c r="A148" s="2">
        <v>12</v>
      </c>
      <c r="B148" s="1" t="s">
        <v>158</v>
      </c>
      <c r="C148" s="4">
        <v>83</v>
      </c>
      <c r="D148" s="8">
        <v>1.58</v>
      </c>
      <c r="E148" s="4">
        <v>42</v>
      </c>
      <c r="F148" s="8">
        <v>2.39</v>
      </c>
      <c r="G148" s="4">
        <v>41</v>
      </c>
      <c r="H148" s="8">
        <v>1.18</v>
      </c>
      <c r="I148" s="4">
        <v>0</v>
      </c>
    </row>
    <row r="149" spans="1:9" x14ac:dyDescent="0.2">
      <c r="A149" s="2">
        <v>13</v>
      </c>
      <c r="B149" s="1" t="s">
        <v>167</v>
      </c>
      <c r="C149" s="4">
        <v>82</v>
      </c>
      <c r="D149" s="8">
        <v>1.56</v>
      </c>
      <c r="E149" s="4">
        <v>79</v>
      </c>
      <c r="F149" s="8">
        <v>4.5</v>
      </c>
      <c r="G149" s="4">
        <v>3</v>
      </c>
      <c r="H149" s="8">
        <v>0.09</v>
      </c>
      <c r="I149" s="4">
        <v>0</v>
      </c>
    </row>
    <row r="150" spans="1:9" x14ac:dyDescent="0.2">
      <c r="A150" s="2">
        <v>14</v>
      </c>
      <c r="B150" s="1" t="s">
        <v>186</v>
      </c>
      <c r="C150" s="4">
        <v>80</v>
      </c>
      <c r="D150" s="8">
        <v>1.53</v>
      </c>
      <c r="E150" s="4">
        <v>31</v>
      </c>
      <c r="F150" s="8">
        <v>1.77</v>
      </c>
      <c r="G150" s="4">
        <v>49</v>
      </c>
      <c r="H150" s="8">
        <v>1.41</v>
      </c>
      <c r="I150" s="4">
        <v>0</v>
      </c>
    </row>
    <row r="151" spans="1:9" x14ac:dyDescent="0.2">
      <c r="A151" s="2">
        <v>15</v>
      </c>
      <c r="B151" s="1" t="s">
        <v>189</v>
      </c>
      <c r="C151" s="4">
        <v>79</v>
      </c>
      <c r="D151" s="8">
        <v>1.51</v>
      </c>
      <c r="E151" s="4">
        <v>1</v>
      </c>
      <c r="F151" s="8">
        <v>0.06</v>
      </c>
      <c r="G151" s="4">
        <v>78</v>
      </c>
      <c r="H151" s="8">
        <v>2.25</v>
      </c>
      <c r="I151" s="4">
        <v>0</v>
      </c>
    </row>
    <row r="152" spans="1:9" x14ac:dyDescent="0.2">
      <c r="A152" s="2">
        <v>16</v>
      </c>
      <c r="B152" s="1" t="s">
        <v>173</v>
      </c>
      <c r="C152" s="4">
        <v>77</v>
      </c>
      <c r="D152" s="8">
        <v>1.47</v>
      </c>
      <c r="E152" s="4">
        <v>6</v>
      </c>
      <c r="F152" s="8">
        <v>0.34</v>
      </c>
      <c r="G152" s="4">
        <v>71</v>
      </c>
      <c r="H152" s="8">
        <v>2.04</v>
      </c>
      <c r="I152" s="4">
        <v>0</v>
      </c>
    </row>
    <row r="153" spans="1:9" x14ac:dyDescent="0.2">
      <c r="A153" s="2">
        <v>17</v>
      </c>
      <c r="B153" s="1" t="s">
        <v>191</v>
      </c>
      <c r="C153" s="4">
        <v>74</v>
      </c>
      <c r="D153" s="8">
        <v>1.41</v>
      </c>
      <c r="E153" s="4">
        <v>17</v>
      </c>
      <c r="F153" s="8">
        <v>0.97</v>
      </c>
      <c r="G153" s="4">
        <v>57</v>
      </c>
      <c r="H153" s="8">
        <v>1.64</v>
      </c>
      <c r="I153" s="4">
        <v>0</v>
      </c>
    </row>
    <row r="154" spans="1:9" x14ac:dyDescent="0.2">
      <c r="A154" s="2">
        <v>18</v>
      </c>
      <c r="B154" s="1" t="s">
        <v>157</v>
      </c>
      <c r="C154" s="4">
        <v>71</v>
      </c>
      <c r="D154" s="8">
        <v>1.35</v>
      </c>
      <c r="E154" s="4">
        <v>19</v>
      </c>
      <c r="F154" s="8">
        <v>1.08</v>
      </c>
      <c r="G154" s="4">
        <v>52</v>
      </c>
      <c r="H154" s="8">
        <v>1.5</v>
      </c>
      <c r="I154" s="4">
        <v>0</v>
      </c>
    </row>
    <row r="155" spans="1:9" x14ac:dyDescent="0.2">
      <c r="A155" s="2">
        <v>19</v>
      </c>
      <c r="B155" s="1" t="s">
        <v>178</v>
      </c>
      <c r="C155" s="4">
        <v>69</v>
      </c>
      <c r="D155" s="8">
        <v>1.32</v>
      </c>
      <c r="E155" s="4">
        <v>5</v>
      </c>
      <c r="F155" s="8">
        <v>0.28999999999999998</v>
      </c>
      <c r="G155" s="4">
        <v>63</v>
      </c>
      <c r="H155" s="8">
        <v>1.81</v>
      </c>
      <c r="I155" s="4">
        <v>1</v>
      </c>
    </row>
    <row r="156" spans="1:9" x14ac:dyDescent="0.2">
      <c r="A156" s="2">
        <v>19</v>
      </c>
      <c r="B156" s="1" t="s">
        <v>192</v>
      </c>
      <c r="C156" s="4">
        <v>69</v>
      </c>
      <c r="D156" s="8">
        <v>1.32</v>
      </c>
      <c r="E156" s="4">
        <v>14</v>
      </c>
      <c r="F156" s="8">
        <v>0.8</v>
      </c>
      <c r="G156" s="4">
        <v>55</v>
      </c>
      <c r="H156" s="8">
        <v>1.58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176</v>
      </c>
      <c r="C159" s="4">
        <v>602</v>
      </c>
      <c r="D159" s="8">
        <v>6.72</v>
      </c>
      <c r="E159" s="4">
        <v>518</v>
      </c>
      <c r="F159" s="8">
        <v>17.63</v>
      </c>
      <c r="G159" s="4">
        <v>84</v>
      </c>
      <c r="H159" s="8">
        <v>1.4</v>
      </c>
      <c r="I159" s="4">
        <v>0</v>
      </c>
    </row>
    <row r="160" spans="1:9" x14ac:dyDescent="0.2">
      <c r="A160" s="2">
        <v>2</v>
      </c>
      <c r="B160" s="1" t="s">
        <v>163</v>
      </c>
      <c r="C160" s="4">
        <v>401</v>
      </c>
      <c r="D160" s="8">
        <v>4.4800000000000004</v>
      </c>
      <c r="E160" s="4">
        <v>242</v>
      </c>
      <c r="F160" s="8">
        <v>8.24</v>
      </c>
      <c r="G160" s="4">
        <v>159</v>
      </c>
      <c r="H160" s="8">
        <v>2.65</v>
      </c>
      <c r="I160" s="4">
        <v>0</v>
      </c>
    </row>
    <row r="161" spans="1:9" x14ac:dyDescent="0.2">
      <c r="A161" s="2">
        <v>3</v>
      </c>
      <c r="B161" s="1" t="s">
        <v>181</v>
      </c>
      <c r="C161" s="4">
        <v>333</v>
      </c>
      <c r="D161" s="8">
        <v>3.72</v>
      </c>
      <c r="E161" s="4">
        <v>321</v>
      </c>
      <c r="F161" s="8">
        <v>10.93</v>
      </c>
      <c r="G161" s="4">
        <v>12</v>
      </c>
      <c r="H161" s="8">
        <v>0.2</v>
      </c>
      <c r="I161" s="4">
        <v>0</v>
      </c>
    </row>
    <row r="162" spans="1:9" x14ac:dyDescent="0.2">
      <c r="A162" s="2">
        <v>4</v>
      </c>
      <c r="B162" s="1" t="s">
        <v>161</v>
      </c>
      <c r="C162" s="4">
        <v>305</v>
      </c>
      <c r="D162" s="8">
        <v>3.41</v>
      </c>
      <c r="E162" s="4">
        <v>26</v>
      </c>
      <c r="F162" s="8">
        <v>0.88</v>
      </c>
      <c r="G162" s="4">
        <v>279</v>
      </c>
      <c r="H162" s="8">
        <v>4.66</v>
      </c>
      <c r="I162" s="4">
        <v>0</v>
      </c>
    </row>
    <row r="163" spans="1:9" x14ac:dyDescent="0.2">
      <c r="A163" s="2">
        <v>5</v>
      </c>
      <c r="B163" s="1" t="s">
        <v>164</v>
      </c>
      <c r="C163" s="4">
        <v>273</v>
      </c>
      <c r="D163" s="8">
        <v>3.05</v>
      </c>
      <c r="E163" s="4">
        <v>195</v>
      </c>
      <c r="F163" s="8">
        <v>6.64</v>
      </c>
      <c r="G163" s="4">
        <v>78</v>
      </c>
      <c r="H163" s="8">
        <v>1.3</v>
      </c>
      <c r="I163" s="4">
        <v>0</v>
      </c>
    </row>
    <row r="164" spans="1:9" x14ac:dyDescent="0.2">
      <c r="A164" s="2">
        <v>6</v>
      </c>
      <c r="B164" s="1" t="s">
        <v>160</v>
      </c>
      <c r="C164" s="4">
        <v>254</v>
      </c>
      <c r="D164" s="8">
        <v>2.84</v>
      </c>
      <c r="E164" s="4">
        <v>18</v>
      </c>
      <c r="F164" s="8">
        <v>0.61</v>
      </c>
      <c r="G164" s="4">
        <v>235</v>
      </c>
      <c r="H164" s="8">
        <v>3.92</v>
      </c>
      <c r="I164" s="4">
        <v>1</v>
      </c>
    </row>
    <row r="165" spans="1:9" x14ac:dyDescent="0.2">
      <c r="A165" s="2">
        <v>7</v>
      </c>
      <c r="B165" s="1" t="s">
        <v>158</v>
      </c>
      <c r="C165" s="4">
        <v>215</v>
      </c>
      <c r="D165" s="8">
        <v>2.4</v>
      </c>
      <c r="E165" s="4">
        <v>107</v>
      </c>
      <c r="F165" s="8">
        <v>3.64</v>
      </c>
      <c r="G165" s="4">
        <v>108</v>
      </c>
      <c r="H165" s="8">
        <v>1.8</v>
      </c>
      <c r="I165" s="4">
        <v>0</v>
      </c>
    </row>
    <row r="166" spans="1:9" x14ac:dyDescent="0.2">
      <c r="A166" s="2">
        <v>8</v>
      </c>
      <c r="B166" s="1" t="s">
        <v>162</v>
      </c>
      <c r="C166" s="4">
        <v>183</v>
      </c>
      <c r="D166" s="8">
        <v>2.04</v>
      </c>
      <c r="E166" s="4">
        <v>33</v>
      </c>
      <c r="F166" s="8">
        <v>1.1200000000000001</v>
      </c>
      <c r="G166" s="4">
        <v>150</v>
      </c>
      <c r="H166" s="8">
        <v>2.5</v>
      </c>
      <c r="I166" s="4">
        <v>0</v>
      </c>
    </row>
    <row r="167" spans="1:9" x14ac:dyDescent="0.2">
      <c r="A167" s="2">
        <v>9</v>
      </c>
      <c r="B167" s="1" t="s">
        <v>175</v>
      </c>
      <c r="C167" s="4">
        <v>182</v>
      </c>
      <c r="D167" s="8">
        <v>2.0299999999999998</v>
      </c>
      <c r="E167" s="4">
        <v>155</v>
      </c>
      <c r="F167" s="8">
        <v>5.28</v>
      </c>
      <c r="G167" s="4">
        <v>27</v>
      </c>
      <c r="H167" s="8">
        <v>0.45</v>
      </c>
      <c r="I167" s="4">
        <v>0</v>
      </c>
    </row>
    <row r="168" spans="1:9" x14ac:dyDescent="0.2">
      <c r="A168" s="2">
        <v>9</v>
      </c>
      <c r="B168" s="1" t="s">
        <v>168</v>
      </c>
      <c r="C168" s="4">
        <v>182</v>
      </c>
      <c r="D168" s="8">
        <v>2.0299999999999998</v>
      </c>
      <c r="E168" s="4">
        <v>116</v>
      </c>
      <c r="F168" s="8">
        <v>3.95</v>
      </c>
      <c r="G168" s="4">
        <v>66</v>
      </c>
      <c r="H168" s="8">
        <v>1.1000000000000001</v>
      </c>
      <c r="I168" s="4">
        <v>0</v>
      </c>
    </row>
    <row r="169" spans="1:9" x14ac:dyDescent="0.2">
      <c r="A169" s="2">
        <v>11</v>
      </c>
      <c r="B169" s="1" t="s">
        <v>189</v>
      </c>
      <c r="C169" s="4">
        <v>168</v>
      </c>
      <c r="D169" s="8">
        <v>1.88</v>
      </c>
      <c r="E169" s="4">
        <v>2</v>
      </c>
      <c r="F169" s="8">
        <v>7.0000000000000007E-2</v>
      </c>
      <c r="G169" s="4">
        <v>166</v>
      </c>
      <c r="H169" s="8">
        <v>2.77</v>
      </c>
      <c r="I169" s="4">
        <v>0</v>
      </c>
    </row>
    <row r="170" spans="1:9" x14ac:dyDescent="0.2">
      <c r="A170" s="2">
        <v>12</v>
      </c>
      <c r="B170" s="1" t="s">
        <v>191</v>
      </c>
      <c r="C170" s="4">
        <v>166</v>
      </c>
      <c r="D170" s="8">
        <v>1.85</v>
      </c>
      <c r="E170" s="4">
        <v>38</v>
      </c>
      <c r="F170" s="8">
        <v>1.29</v>
      </c>
      <c r="G170" s="4">
        <v>128</v>
      </c>
      <c r="H170" s="8">
        <v>2.14</v>
      </c>
      <c r="I170" s="4">
        <v>0</v>
      </c>
    </row>
    <row r="171" spans="1:9" x14ac:dyDescent="0.2">
      <c r="A171" s="2">
        <v>13</v>
      </c>
      <c r="B171" s="1" t="s">
        <v>180</v>
      </c>
      <c r="C171" s="4">
        <v>155</v>
      </c>
      <c r="D171" s="8">
        <v>1.73</v>
      </c>
      <c r="E171" s="4">
        <v>14</v>
      </c>
      <c r="F171" s="8">
        <v>0.48</v>
      </c>
      <c r="G171" s="4">
        <v>135</v>
      </c>
      <c r="H171" s="8">
        <v>2.25</v>
      </c>
      <c r="I171" s="4">
        <v>4</v>
      </c>
    </row>
    <row r="172" spans="1:9" x14ac:dyDescent="0.2">
      <c r="A172" s="2">
        <v>14</v>
      </c>
      <c r="B172" s="1" t="s">
        <v>159</v>
      </c>
      <c r="C172" s="4">
        <v>148</v>
      </c>
      <c r="D172" s="8">
        <v>1.65</v>
      </c>
      <c r="E172" s="4">
        <v>7</v>
      </c>
      <c r="F172" s="8">
        <v>0.24</v>
      </c>
      <c r="G172" s="4">
        <v>141</v>
      </c>
      <c r="H172" s="8">
        <v>2.35</v>
      </c>
      <c r="I172" s="4">
        <v>0</v>
      </c>
    </row>
    <row r="173" spans="1:9" x14ac:dyDescent="0.2">
      <c r="A173" s="2">
        <v>15</v>
      </c>
      <c r="B173" s="1" t="s">
        <v>165</v>
      </c>
      <c r="C173" s="4">
        <v>146</v>
      </c>
      <c r="D173" s="8">
        <v>1.63</v>
      </c>
      <c r="E173" s="4">
        <v>109</v>
      </c>
      <c r="F173" s="8">
        <v>3.71</v>
      </c>
      <c r="G173" s="4">
        <v>37</v>
      </c>
      <c r="H173" s="8">
        <v>0.62</v>
      </c>
      <c r="I173" s="4">
        <v>0</v>
      </c>
    </row>
    <row r="174" spans="1:9" x14ac:dyDescent="0.2">
      <c r="A174" s="2">
        <v>16</v>
      </c>
      <c r="B174" s="1" t="s">
        <v>170</v>
      </c>
      <c r="C174" s="4">
        <v>144</v>
      </c>
      <c r="D174" s="8">
        <v>1.61</v>
      </c>
      <c r="E174" s="4">
        <v>77</v>
      </c>
      <c r="F174" s="8">
        <v>2.62</v>
      </c>
      <c r="G174" s="4">
        <v>66</v>
      </c>
      <c r="H174" s="8">
        <v>1.1000000000000001</v>
      </c>
      <c r="I174" s="4">
        <v>1</v>
      </c>
    </row>
    <row r="175" spans="1:9" x14ac:dyDescent="0.2">
      <c r="A175" s="2">
        <v>17</v>
      </c>
      <c r="B175" s="1" t="s">
        <v>178</v>
      </c>
      <c r="C175" s="4">
        <v>137</v>
      </c>
      <c r="D175" s="8">
        <v>1.53</v>
      </c>
      <c r="E175" s="4">
        <v>12</v>
      </c>
      <c r="F175" s="8">
        <v>0.41</v>
      </c>
      <c r="G175" s="4">
        <v>123</v>
      </c>
      <c r="H175" s="8">
        <v>2.0499999999999998</v>
      </c>
      <c r="I175" s="4">
        <v>2</v>
      </c>
    </row>
    <row r="176" spans="1:9" x14ac:dyDescent="0.2">
      <c r="A176" s="2">
        <v>18</v>
      </c>
      <c r="B176" s="1" t="s">
        <v>179</v>
      </c>
      <c r="C176" s="4">
        <v>136</v>
      </c>
      <c r="D176" s="8">
        <v>1.52</v>
      </c>
      <c r="E176" s="4">
        <v>67</v>
      </c>
      <c r="F176" s="8">
        <v>2.2799999999999998</v>
      </c>
      <c r="G176" s="4">
        <v>69</v>
      </c>
      <c r="H176" s="8">
        <v>1.1499999999999999</v>
      </c>
      <c r="I176" s="4">
        <v>0</v>
      </c>
    </row>
    <row r="177" spans="1:9" x14ac:dyDescent="0.2">
      <c r="A177" s="2">
        <v>19</v>
      </c>
      <c r="B177" s="1" t="s">
        <v>173</v>
      </c>
      <c r="C177" s="4">
        <v>132</v>
      </c>
      <c r="D177" s="8">
        <v>1.47</v>
      </c>
      <c r="E177" s="4">
        <v>11</v>
      </c>
      <c r="F177" s="8">
        <v>0.37</v>
      </c>
      <c r="G177" s="4">
        <v>121</v>
      </c>
      <c r="H177" s="8">
        <v>2.02</v>
      </c>
      <c r="I177" s="4">
        <v>0</v>
      </c>
    </row>
    <row r="178" spans="1:9" x14ac:dyDescent="0.2">
      <c r="A178" s="2">
        <v>20</v>
      </c>
      <c r="B178" s="1" t="s">
        <v>171</v>
      </c>
      <c r="C178" s="4">
        <v>130</v>
      </c>
      <c r="D178" s="8">
        <v>1.45</v>
      </c>
      <c r="E178" s="4">
        <v>97</v>
      </c>
      <c r="F178" s="8">
        <v>3.3</v>
      </c>
      <c r="G178" s="4">
        <v>33</v>
      </c>
      <c r="H178" s="8">
        <v>0.55000000000000004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161</v>
      </c>
      <c r="C181" s="4">
        <v>330</v>
      </c>
      <c r="D181" s="8">
        <v>10.72</v>
      </c>
      <c r="E181" s="4">
        <v>127</v>
      </c>
      <c r="F181" s="8">
        <v>9.7200000000000006</v>
      </c>
      <c r="G181" s="4">
        <v>202</v>
      </c>
      <c r="H181" s="8">
        <v>11.43</v>
      </c>
      <c r="I181" s="4">
        <v>1</v>
      </c>
    </row>
    <row r="182" spans="1:9" x14ac:dyDescent="0.2">
      <c r="A182" s="2">
        <v>2</v>
      </c>
      <c r="B182" s="1" t="s">
        <v>168</v>
      </c>
      <c r="C182" s="4">
        <v>123</v>
      </c>
      <c r="D182" s="8">
        <v>4</v>
      </c>
      <c r="E182" s="4">
        <v>100</v>
      </c>
      <c r="F182" s="8">
        <v>7.65</v>
      </c>
      <c r="G182" s="4">
        <v>23</v>
      </c>
      <c r="H182" s="8">
        <v>1.3</v>
      </c>
      <c r="I182" s="4">
        <v>0</v>
      </c>
    </row>
    <row r="183" spans="1:9" x14ac:dyDescent="0.2">
      <c r="A183" s="2">
        <v>3</v>
      </c>
      <c r="B183" s="1" t="s">
        <v>163</v>
      </c>
      <c r="C183" s="4">
        <v>96</v>
      </c>
      <c r="D183" s="8">
        <v>3.12</v>
      </c>
      <c r="E183" s="4">
        <v>70</v>
      </c>
      <c r="F183" s="8">
        <v>5.36</v>
      </c>
      <c r="G183" s="4">
        <v>26</v>
      </c>
      <c r="H183" s="8">
        <v>1.47</v>
      </c>
      <c r="I183" s="4">
        <v>0</v>
      </c>
    </row>
    <row r="184" spans="1:9" x14ac:dyDescent="0.2">
      <c r="A184" s="2">
        <v>4</v>
      </c>
      <c r="B184" s="1" t="s">
        <v>165</v>
      </c>
      <c r="C184" s="4">
        <v>85</v>
      </c>
      <c r="D184" s="8">
        <v>2.76</v>
      </c>
      <c r="E184" s="4">
        <v>72</v>
      </c>
      <c r="F184" s="8">
        <v>5.51</v>
      </c>
      <c r="G184" s="4">
        <v>13</v>
      </c>
      <c r="H184" s="8">
        <v>0.74</v>
      </c>
      <c r="I184" s="4">
        <v>0</v>
      </c>
    </row>
    <row r="185" spans="1:9" x14ac:dyDescent="0.2">
      <c r="A185" s="2">
        <v>5</v>
      </c>
      <c r="B185" s="1" t="s">
        <v>170</v>
      </c>
      <c r="C185" s="4">
        <v>81</v>
      </c>
      <c r="D185" s="8">
        <v>2.63</v>
      </c>
      <c r="E185" s="4">
        <v>59</v>
      </c>
      <c r="F185" s="8">
        <v>4.51</v>
      </c>
      <c r="G185" s="4">
        <v>22</v>
      </c>
      <c r="H185" s="8">
        <v>1.24</v>
      </c>
      <c r="I185" s="4">
        <v>0</v>
      </c>
    </row>
    <row r="186" spans="1:9" x14ac:dyDescent="0.2">
      <c r="A186" s="2">
        <v>6</v>
      </c>
      <c r="B186" s="1" t="s">
        <v>171</v>
      </c>
      <c r="C186" s="4">
        <v>80</v>
      </c>
      <c r="D186" s="8">
        <v>2.6</v>
      </c>
      <c r="E186" s="4">
        <v>59</v>
      </c>
      <c r="F186" s="8">
        <v>4.51</v>
      </c>
      <c r="G186" s="4">
        <v>21</v>
      </c>
      <c r="H186" s="8">
        <v>1.19</v>
      </c>
      <c r="I186" s="4">
        <v>0</v>
      </c>
    </row>
    <row r="187" spans="1:9" x14ac:dyDescent="0.2">
      <c r="A187" s="2">
        <v>7</v>
      </c>
      <c r="B187" s="1" t="s">
        <v>160</v>
      </c>
      <c r="C187" s="4">
        <v>73</v>
      </c>
      <c r="D187" s="8">
        <v>2.37</v>
      </c>
      <c r="E187" s="4">
        <v>8</v>
      </c>
      <c r="F187" s="8">
        <v>0.61</v>
      </c>
      <c r="G187" s="4">
        <v>65</v>
      </c>
      <c r="H187" s="8">
        <v>3.68</v>
      </c>
      <c r="I187" s="4">
        <v>0</v>
      </c>
    </row>
    <row r="188" spans="1:9" x14ac:dyDescent="0.2">
      <c r="A188" s="2">
        <v>8</v>
      </c>
      <c r="B188" s="1" t="s">
        <v>158</v>
      </c>
      <c r="C188" s="4">
        <v>63</v>
      </c>
      <c r="D188" s="8">
        <v>2.0499999999999998</v>
      </c>
      <c r="E188" s="4">
        <v>39</v>
      </c>
      <c r="F188" s="8">
        <v>2.98</v>
      </c>
      <c r="G188" s="4">
        <v>24</v>
      </c>
      <c r="H188" s="8">
        <v>1.36</v>
      </c>
      <c r="I188" s="4">
        <v>0</v>
      </c>
    </row>
    <row r="189" spans="1:9" x14ac:dyDescent="0.2">
      <c r="A189" s="2">
        <v>9</v>
      </c>
      <c r="B189" s="1" t="s">
        <v>159</v>
      </c>
      <c r="C189" s="4">
        <v>59</v>
      </c>
      <c r="D189" s="8">
        <v>1.92</v>
      </c>
      <c r="E189" s="4">
        <v>12</v>
      </c>
      <c r="F189" s="8">
        <v>0.92</v>
      </c>
      <c r="G189" s="4">
        <v>47</v>
      </c>
      <c r="H189" s="8">
        <v>2.66</v>
      </c>
      <c r="I189" s="4">
        <v>0</v>
      </c>
    </row>
    <row r="190" spans="1:9" x14ac:dyDescent="0.2">
      <c r="A190" s="2">
        <v>9</v>
      </c>
      <c r="B190" s="1" t="s">
        <v>167</v>
      </c>
      <c r="C190" s="4">
        <v>59</v>
      </c>
      <c r="D190" s="8">
        <v>1.92</v>
      </c>
      <c r="E190" s="4">
        <v>52</v>
      </c>
      <c r="F190" s="8">
        <v>3.98</v>
      </c>
      <c r="G190" s="4">
        <v>7</v>
      </c>
      <c r="H190" s="8">
        <v>0.4</v>
      </c>
      <c r="I190" s="4">
        <v>0</v>
      </c>
    </row>
    <row r="191" spans="1:9" x14ac:dyDescent="0.2">
      <c r="A191" s="2">
        <v>11</v>
      </c>
      <c r="B191" s="1" t="s">
        <v>174</v>
      </c>
      <c r="C191" s="4">
        <v>55</v>
      </c>
      <c r="D191" s="8">
        <v>1.79</v>
      </c>
      <c r="E191" s="4">
        <v>3</v>
      </c>
      <c r="F191" s="8">
        <v>0.23</v>
      </c>
      <c r="G191" s="4">
        <v>52</v>
      </c>
      <c r="H191" s="8">
        <v>2.94</v>
      </c>
      <c r="I191" s="4">
        <v>0</v>
      </c>
    </row>
    <row r="192" spans="1:9" x14ac:dyDescent="0.2">
      <c r="A192" s="2">
        <v>12</v>
      </c>
      <c r="B192" s="1" t="s">
        <v>162</v>
      </c>
      <c r="C192" s="4">
        <v>52</v>
      </c>
      <c r="D192" s="8">
        <v>1.69</v>
      </c>
      <c r="E192" s="4">
        <v>19</v>
      </c>
      <c r="F192" s="8">
        <v>1.45</v>
      </c>
      <c r="G192" s="4">
        <v>33</v>
      </c>
      <c r="H192" s="8">
        <v>1.87</v>
      </c>
      <c r="I192" s="4">
        <v>0</v>
      </c>
    </row>
    <row r="193" spans="1:9" x14ac:dyDescent="0.2">
      <c r="A193" s="2">
        <v>13</v>
      </c>
      <c r="B193" s="1" t="s">
        <v>164</v>
      </c>
      <c r="C193" s="4">
        <v>50</v>
      </c>
      <c r="D193" s="8">
        <v>1.62</v>
      </c>
      <c r="E193" s="4">
        <v>43</v>
      </c>
      <c r="F193" s="8">
        <v>3.29</v>
      </c>
      <c r="G193" s="4">
        <v>7</v>
      </c>
      <c r="H193" s="8">
        <v>0.4</v>
      </c>
      <c r="I193" s="4">
        <v>0</v>
      </c>
    </row>
    <row r="194" spans="1:9" x14ac:dyDescent="0.2">
      <c r="A194" s="2">
        <v>14</v>
      </c>
      <c r="B194" s="1" t="s">
        <v>166</v>
      </c>
      <c r="C194" s="4">
        <v>48</v>
      </c>
      <c r="D194" s="8">
        <v>1.56</v>
      </c>
      <c r="E194" s="4">
        <v>28</v>
      </c>
      <c r="F194" s="8">
        <v>2.14</v>
      </c>
      <c r="G194" s="4">
        <v>20</v>
      </c>
      <c r="H194" s="8">
        <v>1.1299999999999999</v>
      </c>
      <c r="I194" s="4">
        <v>0</v>
      </c>
    </row>
    <row r="195" spans="1:9" x14ac:dyDescent="0.2">
      <c r="A195" s="2">
        <v>15</v>
      </c>
      <c r="B195" s="1" t="s">
        <v>175</v>
      </c>
      <c r="C195" s="4">
        <v>47</v>
      </c>
      <c r="D195" s="8">
        <v>1.53</v>
      </c>
      <c r="E195" s="4">
        <v>43</v>
      </c>
      <c r="F195" s="8">
        <v>3.29</v>
      </c>
      <c r="G195" s="4">
        <v>4</v>
      </c>
      <c r="H195" s="8">
        <v>0.23</v>
      </c>
      <c r="I195" s="4">
        <v>0</v>
      </c>
    </row>
    <row r="196" spans="1:9" x14ac:dyDescent="0.2">
      <c r="A196" s="2">
        <v>16</v>
      </c>
      <c r="B196" s="1" t="s">
        <v>185</v>
      </c>
      <c r="C196" s="4">
        <v>45</v>
      </c>
      <c r="D196" s="8">
        <v>1.46</v>
      </c>
      <c r="E196" s="4">
        <v>9</v>
      </c>
      <c r="F196" s="8">
        <v>0.69</v>
      </c>
      <c r="G196" s="4">
        <v>36</v>
      </c>
      <c r="H196" s="8">
        <v>2.04</v>
      </c>
      <c r="I196" s="4">
        <v>0</v>
      </c>
    </row>
    <row r="197" spans="1:9" x14ac:dyDescent="0.2">
      <c r="A197" s="2">
        <v>17</v>
      </c>
      <c r="B197" s="1" t="s">
        <v>186</v>
      </c>
      <c r="C197" s="4">
        <v>38</v>
      </c>
      <c r="D197" s="8">
        <v>1.23</v>
      </c>
      <c r="E197" s="4">
        <v>17</v>
      </c>
      <c r="F197" s="8">
        <v>1.3</v>
      </c>
      <c r="G197" s="4">
        <v>21</v>
      </c>
      <c r="H197" s="8">
        <v>1.19</v>
      </c>
      <c r="I197" s="4">
        <v>0</v>
      </c>
    </row>
    <row r="198" spans="1:9" x14ac:dyDescent="0.2">
      <c r="A198" s="2">
        <v>18</v>
      </c>
      <c r="B198" s="1" t="s">
        <v>173</v>
      </c>
      <c r="C198" s="4">
        <v>37</v>
      </c>
      <c r="D198" s="8">
        <v>1.2</v>
      </c>
      <c r="E198" s="4">
        <v>5</v>
      </c>
      <c r="F198" s="8">
        <v>0.38</v>
      </c>
      <c r="G198" s="4">
        <v>32</v>
      </c>
      <c r="H198" s="8">
        <v>1.81</v>
      </c>
      <c r="I198" s="4">
        <v>0</v>
      </c>
    </row>
    <row r="199" spans="1:9" x14ac:dyDescent="0.2">
      <c r="A199" s="2">
        <v>19</v>
      </c>
      <c r="B199" s="1" t="s">
        <v>191</v>
      </c>
      <c r="C199" s="4">
        <v>35</v>
      </c>
      <c r="D199" s="8">
        <v>1.1399999999999999</v>
      </c>
      <c r="E199" s="4">
        <v>15</v>
      </c>
      <c r="F199" s="8">
        <v>1.1499999999999999</v>
      </c>
      <c r="G199" s="4">
        <v>20</v>
      </c>
      <c r="H199" s="8">
        <v>1.1299999999999999</v>
      </c>
      <c r="I199" s="4">
        <v>0</v>
      </c>
    </row>
    <row r="200" spans="1:9" x14ac:dyDescent="0.2">
      <c r="A200" s="2">
        <v>19</v>
      </c>
      <c r="B200" s="1" t="s">
        <v>179</v>
      </c>
      <c r="C200" s="4">
        <v>35</v>
      </c>
      <c r="D200" s="8">
        <v>1.1399999999999999</v>
      </c>
      <c r="E200" s="4">
        <v>22</v>
      </c>
      <c r="F200" s="8">
        <v>1.68</v>
      </c>
      <c r="G200" s="4">
        <v>13</v>
      </c>
      <c r="H200" s="8">
        <v>0.74</v>
      </c>
      <c r="I200" s="4">
        <v>0</v>
      </c>
    </row>
    <row r="201" spans="1:9" x14ac:dyDescent="0.2">
      <c r="A201" s="1"/>
      <c r="C201" s="4"/>
      <c r="D201" s="8"/>
      <c r="E201" s="4"/>
      <c r="F201" s="8"/>
      <c r="G201" s="4"/>
      <c r="H201" s="8"/>
      <c r="I201" s="4"/>
    </row>
    <row r="202" spans="1:9" x14ac:dyDescent="0.2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2">
      <c r="A203" s="2">
        <v>1</v>
      </c>
      <c r="B203" s="1" t="s">
        <v>161</v>
      </c>
      <c r="C203" s="4">
        <v>269</v>
      </c>
      <c r="D203" s="8">
        <v>10.47</v>
      </c>
      <c r="E203" s="4">
        <v>110</v>
      </c>
      <c r="F203" s="8">
        <v>9.73</v>
      </c>
      <c r="G203" s="4">
        <v>159</v>
      </c>
      <c r="H203" s="8">
        <v>11.04</v>
      </c>
      <c r="I203" s="4">
        <v>0</v>
      </c>
    </row>
    <row r="204" spans="1:9" x14ac:dyDescent="0.2">
      <c r="A204" s="2">
        <v>2</v>
      </c>
      <c r="B204" s="1" t="s">
        <v>170</v>
      </c>
      <c r="C204" s="4">
        <v>105</v>
      </c>
      <c r="D204" s="8">
        <v>4.09</v>
      </c>
      <c r="E204" s="4">
        <v>77</v>
      </c>
      <c r="F204" s="8">
        <v>6.81</v>
      </c>
      <c r="G204" s="4">
        <v>28</v>
      </c>
      <c r="H204" s="8">
        <v>1.94</v>
      </c>
      <c r="I204" s="4">
        <v>0</v>
      </c>
    </row>
    <row r="205" spans="1:9" x14ac:dyDescent="0.2">
      <c r="A205" s="2">
        <v>3</v>
      </c>
      <c r="B205" s="1" t="s">
        <v>168</v>
      </c>
      <c r="C205" s="4">
        <v>98</v>
      </c>
      <c r="D205" s="8">
        <v>3.81</v>
      </c>
      <c r="E205" s="4">
        <v>83</v>
      </c>
      <c r="F205" s="8">
        <v>7.35</v>
      </c>
      <c r="G205" s="4">
        <v>15</v>
      </c>
      <c r="H205" s="8">
        <v>1.04</v>
      </c>
      <c r="I205" s="4">
        <v>0</v>
      </c>
    </row>
    <row r="206" spans="1:9" x14ac:dyDescent="0.2">
      <c r="A206" s="2">
        <v>4</v>
      </c>
      <c r="B206" s="1" t="s">
        <v>171</v>
      </c>
      <c r="C206" s="4">
        <v>79</v>
      </c>
      <c r="D206" s="8">
        <v>3.07</v>
      </c>
      <c r="E206" s="4">
        <v>61</v>
      </c>
      <c r="F206" s="8">
        <v>5.4</v>
      </c>
      <c r="G206" s="4">
        <v>18</v>
      </c>
      <c r="H206" s="8">
        <v>1.25</v>
      </c>
      <c r="I206" s="4">
        <v>0</v>
      </c>
    </row>
    <row r="207" spans="1:9" x14ac:dyDescent="0.2">
      <c r="A207" s="2">
        <v>5</v>
      </c>
      <c r="B207" s="1" t="s">
        <v>165</v>
      </c>
      <c r="C207" s="4">
        <v>77</v>
      </c>
      <c r="D207" s="8">
        <v>3</v>
      </c>
      <c r="E207" s="4">
        <v>68</v>
      </c>
      <c r="F207" s="8">
        <v>6.02</v>
      </c>
      <c r="G207" s="4">
        <v>9</v>
      </c>
      <c r="H207" s="8">
        <v>0.63</v>
      </c>
      <c r="I207" s="4">
        <v>0</v>
      </c>
    </row>
    <row r="208" spans="1:9" x14ac:dyDescent="0.2">
      <c r="A208" s="2">
        <v>6</v>
      </c>
      <c r="B208" s="1" t="s">
        <v>163</v>
      </c>
      <c r="C208" s="4">
        <v>71</v>
      </c>
      <c r="D208" s="8">
        <v>2.76</v>
      </c>
      <c r="E208" s="4">
        <v>57</v>
      </c>
      <c r="F208" s="8">
        <v>5.04</v>
      </c>
      <c r="G208" s="4">
        <v>14</v>
      </c>
      <c r="H208" s="8">
        <v>0.97</v>
      </c>
      <c r="I208" s="4">
        <v>0</v>
      </c>
    </row>
    <row r="209" spans="1:9" x14ac:dyDescent="0.2">
      <c r="A209" s="2">
        <v>7</v>
      </c>
      <c r="B209" s="1" t="s">
        <v>160</v>
      </c>
      <c r="C209" s="4">
        <v>69</v>
      </c>
      <c r="D209" s="8">
        <v>2.68</v>
      </c>
      <c r="E209" s="4">
        <v>10</v>
      </c>
      <c r="F209" s="8">
        <v>0.88</v>
      </c>
      <c r="G209" s="4">
        <v>59</v>
      </c>
      <c r="H209" s="8">
        <v>4.0999999999999996</v>
      </c>
      <c r="I209" s="4">
        <v>0</v>
      </c>
    </row>
    <row r="210" spans="1:9" x14ac:dyDescent="0.2">
      <c r="A210" s="2">
        <v>8</v>
      </c>
      <c r="B210" s="1" t="s">
        <v>167</v>
      </c>
      <c r="C210" s="4">
        <v>54</v>
      </c>
      <c r="D210" s="8">
        <v>2.1</v>
      </c>
      <c r="E210" s="4">
        <v>51</v>
      </c>
      <c r="F210" s="8">
        <v>4.51</v>
      </c>
      <c r="G210" s="4">
        <v>3</v>
      </c>
      <c r="H210" s="8">
        <v>0.21</v>
      </c>
      <c r="I210" s="4">
        <v>0</v>
      </c>
    </row>
    <row r="211" spans="1:9" x14ac:dyDescent="0.2">
      <c r="A211" s="2">
        <v>9</v>
      </c>
      <c r="B211" s="1" t="s">
        <v>164</v>
      </c>
      <c r="C211" s="4">
        <v>50</v>
      </c>
      <c r="D211" s="8">
        <v>1.95</v>
      </c>
      <c r="E211" s="4">
        <v>48</v>
      </c>
      <c r="F211" s="8">
        <v>4.25</v>
      </c>
      <c r="G211" s="4">
        <v>2</v>
      </c>
      <c r="H211" s="8">
        <v>0.14000000000000001</v>
      </c>
      <c r="I211" s="4">
        <v>0</v>
      </c>
    </row>
    <row r="212" spans="1:9" x14ac:dyDescent="0.2">
      <c r="A212" s="2">
        <v>10</v>
      </c>
      <c r="B212" s="1" t="s">
        <v>175</v>
      </c>
      <c r="C212" s="4">
        <v>45</v>
      </c>
      <c r="D212" s="8">
        <v>1.75</v>
      </c>
      <c r="E212" s="4">
        <v>44</v>
      </c>
      <c r="F212" s="8">
        <v>3.89</v>
      </c>
      <c r="G212" s="4">
        <v>1</v>
      </c>
      <c r="H212" s="8">
        <v>7.0000000000000007E-2</v>
      </c>
      <c r="I212" s="4">
        <v>0</v>
      </c>
    </row>
    <row r="213" spans="1:9" x14ac:dyDescent="0.2">
      <c r="A213" s="2">
        <v>11</v>
      </c>
      <c r="B213" s="1" t="s">
        <v>186</v>
      </c>
      <c r="C213" s="4">
        <v>41</v>
      </c>
      <c r="D213" s="8">
        <v>1.6</v>
      </c>
      <c r="E213" s="4">
        <v>29</v>
      </c>
      <c r="F213" s="8">
        <v>2.57</v>
      </c>
      <c r="G213" s="4">
        <v>12</v>
      </c>
      <c r="H213" s="8">
        <v>0.83</v>
      </c>
      <c r="I213" s="4">
        <v>0</v>
      </c>
    </row>
    <row r="214" spans="1:9" x14ac:dyDescent="0.2">
      <c r="A214" s="2">
        <v>11</v>
      </c>
      <c r="B214" s="1" t="s">
        <v>166</v>
      </c>
      <c r="C214" s="4">
        <v>41</v>
      </c>
      <c r="D214" s="8">
        <v>1.6</v>
      </c>
      <c r="E214" s="4">
        <v>17</v>
      </c>
      <c r="F214" s="8">
        <v>1.5</v>
      </c>
      <c r="G214" s="4">
        <v>24</v>
      </c>
      <c r="H214" s="8">
        <v>1.67</v>
      </c>
      <c r="I214" s="4">
        <v>0</v>
      </c>
    </row>
    <row r="215" spans="1:9" x14ac:dyDescent="0.2">
      <c r="A215" s="2">
        <v>13</v>
      </c>
      <c r="B215" s="1" t="s">
        <v>174</v>
      </c>
      <c r="C215" s="4">
        <v>40</v>
      </c>
      <c r="D215" s="8">
        <v>1.56</v>
      </c>
      <c r="E215" s="4">
        <v>3</v>
      </c>
      <c r="F215" s="8">
        <v>0.27</v>
      </c>
      <c r="G215" s="4">
        <v>37</v>
      </c>
      <c r="H215" s="8">
        <v>2.57</v>
      </c>
      <c r="I215" s="4">
        <v>0</v>
      </c>
    </row>
    <row r="216" spans="1:9" x14ac:dyDescent="0.2">
      <c r="A216" s="2">
        <v>14</v>
      </c>
      <c r="B216" s="1" t="s">
        <v>158</v>
      </c>
      <c r="C216" s="4">
        <v>39</v>
      </c>
      <c r="D216" s="8">
        <v>1.52</v>
      </c>
      <c r="E216" s="4">
        <v>28</v>
      </c>
      <c r="F216" s="8">
        <v>2.48</v>
      </c>
      <c r="G216" s="4">
        <v>11</v>
      </c>
      <c r="H216" s="8">
        <v>0.76</v>
      </c>
      <c r="I216" s="4">
        <v>0</v>
      </c>
    </row>
    <row r="217" spans="1:9" x14ac:dyDescent="0.2">
      <c r="A217" s="2">
        <v>15</v>
      </c>
      <c r="B217" s="1" t="s">
        <v>154</v>
      </c>
      <c r="C217" s="4">
        <v>38</v>
      </c>
      <c r="D217" s="8">
        <v>1.48</v>
      </c>
      <c r="E217" s="4">
        <v>7</v>
      </c>
      <c r="F217" s="8">
        <v>0.62</v>
      </c>
      <c r="G217" s="4">
        <v>31</v>
      </c>
      <c r="H217" s="8">
        <v>2.15</v>
      </c>
      <c r="I217" s="4">
        <v>0</v>
      </c>
    </row>
    <row r="218" spans="1:9" x14ac:dyDescent="0.2">
      <c r="A218" s="2">
        <v>15</v>
      </c>
      <c r="B218" s="1" t="s">
        <v>157</v>
      </c>
      <c r="C218" s="4">
        <v>38</v>
      </c>
      <c r="D218" s="8">
        <v>1.48</v>
      </c>
      <c r="E218" s="4">
        <v>12</v>
      </c>
      <c r="F218" s="8">
        <v>1.06</v>
      </c>
      <c r="G218" s="4">
        <v>26</v>
      </c>
      <c r="H218" s="8">
        <v>1.81</v>
      </c>
      <c r="I218" s="4">
        <v>0</v>
      </c>
    </row>
    <row r="219" spans="1:9" x14ac:dyDescent="0.2">
      <c r="A219" s="2">
        <v>17</v>
      </c>
      <c r="B219" s="1" t="s">
        <v>169</v>
      </c>
      <c r="C219" s="4">
        <v>36</v>
      </c>
      <c r="D219" s="8">
        <v>1.4</v>
      </c>
      <c r="E219" s="4">
        <v>18</v>
      </c>
      <c r="F219" s="8">
        <v>1.59</v>
      </c>
      <c r="G219" s="4">
        <v>18</v>
      </c>
      <c r="H219" s="8">
        <v>1.25</v>
      </c>
      <c r="I219" s="4">
        <v>0</v>
      </c>
    </row>
    <row r="220" spans="1:9" x14ac:dyDescent="0.2">
      <c r="A220" s="2">
        <v>18</v>
      </c>
      <c r="B220" s="1" t="s">
        <v>172</v>
      </c>
      <c r="C220" s="4">
        <v>33</v>
      </c>
      <c r="D220" s="8">
        <v>1.28</v>
      </c>
      <c r="E220" s="4">
        <v>2</v>
      </c>
      <c r="F220" s="8">
        <v>0.18</v>
      </c>
      <c r="G220" s="4">
        <v>31</v>
      </c>
      <c r="H220" s="8">
        <v>2.15</v>
      </c>
      <c r="I220" s="4">
        <v>0</v>
      </c>
    </row>
    <row r="221" spans="1:9" x14ac:dyDescent="0.2">
      <c r="A221" s="2">
        <v>18</v>
      </c>
      <c r="B221" s="1" t="s">
        <v>159</v>
      </c>
      <c r="C221" s="4">
        <v>33</v>
      </c>
      <c r="D221" s="8">
        <v>1.28</v>
      </c>
      <c r="E221" s="4">
        <v>6</v>
      </c>
      <c r="F221" s="8">
        <v>0.53</v>
      </c>
      <c r="G221" s="4">
        <v>27</v>
      </c>
      <c r="H221" s="8">
        <v>1.88</v>
      </c>
      <c r="I221" s="4">
        <v>0</v>
      </c>
    </row>
    <row r="222" spans="1:9" x14ac:dyDescent="0.2">
      <c r="A222" s="2">
        <v>20</v>
      </c>
      <c r="B222" s="1" t="s">
        <v>193</v>
      </c>
      <c r="C222" s="4">
        <v>32</v>
      </c>
      <c r="D222" s="8">
        <v>1.25</v>
      </c>
      <c r="E222" s="4">
        <v>12</v>
      </c>
      <c r="F222" s="8">
        <v>1.06</v>
      </c>
      <c r="G222" s="4">
        <v>20</v>
      </c>
      <c r="H222" s="8">
        <v>1.39</v>
      </c>
      <c r="I222" s="4">
        <v>0</v>
      </c>
    </row>
    <row r="223" spans="1:9" x14ac:dyDescent="0.2">
      <c r="A223" s="2">
        <v>20</v>
      </c>
      <c r="B223" s="1" t="s">
        <v>192</v>
      </c>
      <c r="C223" s="4">
        <v>32</v>
      </c>
      <c r="D223" s="8">
        <v>1.25</v>
      </c>
      <c r="E223" s="4">
        <v>11</v>
      </c>
      <c r="F223" s="8">
        <v>0.97</v>
      </c>
      <c r="G223" s="4">
        <v>21</v>
      </c>
      <c r="H223" s="8">
        <v>1.46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161</v>
      </c>
      <c r="C226" s="4">
        <v>129</v>
      </c>
      <c r="D226" s="8">
        <v>6.3</v>
      </c>
      <c r="E226" s="4">
        <v>64</v>
      </c>
      <c r="F226" s="8">
        <v>8.26</v>
      </c>
      <c r="G226" s="4">
        <v>65</v>
      </c>
      <c r="H226" s="8">
        <v>5.13</v>
      </c>
      <c r="I226" s="4">
        <v>0</v>
      </c>
    </row>
    <row r="227" spans="1:9" x14ac:dyDescent="0.2">
      <c r="A227" s="2">
        <v>2</v>
      </c>
      <c r="B227" s="1" t="s">
        <v>165</v>
      </c>
      <c r="C227" s="4">
        <v>84</v>
      </c>
      <c r="D227" s="8">
        <v>4.0999999999999996</v>
      </c>
      <c r="E227" s="4">
        <v>78</v>
      </c>
      <c r="F227" s="8">
        <v>10.06</v>
      </c>
      <c r="G227" s="4">
        <v>6</v>
      </c>
      <c r="H227" s="8">
        <v>0.47</v>
      </c>
      <c r="I227" s="4">
        <v>0</v>
      </c>
    </row>
    <row r="228" spans="1:9" x14ac:dyDescent="0.2">
      <c r="A228" s="2">
        <v>3</v>
      </c>
      <c r="B228" s="1" t="s">
        <v>164</v>
      </c>
      <c r="C228" s="4">
        <v>65</v>
      </c>
      <c r="D228" s="8">
        <v>3.18</v>
      </c>
      <c r="E228" s="4">
        <v>53</v>
      </c>
      <c r="F228" s="8">
        <v>6.84</v>
      </c>
      <c r="G228" s="4">
        <v>12</v>
      </c>
      <c r="H228" s="8">
        <v>0.95</v>
      </c>
      <c r="I228" s="4">
        <v>0</v>
      </c>
    </row>
    <row r="229" spans="1:9" x14ac:dyDescent="0.2">
      <c r="A229" s="2">
        <v>4</v>
      </c>
      <c r="B229" s="1" t="s">
        <v>168</v>
      </c>
      <c r="C229" s="4">
        <v>57</v>
      </c>
      <c r="D229" s="8">
        <v>2.78</v>
      </c>
      <c r="E229" s="4">
        <v>41</v>
      </c>
      <c r="F229" s="8">
        <v>5.29</v>
      </c>
      <c r="G229" s="4">
        <v>16</v>
      </c>
      <c r="H229" s="8">
        <v>1.26</v>
      </c>
      <c r="I229" s="4">
        <v>0</v>
      </c>
    </row>
    <row r="230" spans="1:9" x14ac:dyDescent="0.2">
      <c r="A230" s="2">
        <v>5</v>
      </c>
      <c r="B230" s="1" t="s">
        <v>163</v>
      </c>
      <c r="C230" s="4">
        <v>55</v>
      </c>
      <c r="D230" s="8">
        <v>2.69</v>
      </c>
      <c r="E230" s="4">
        <v>40</v>
      </c>
      <c r="F230" s="8">
        <v>5.16</v>
      </c>
      <c r="G230" s="4">
        <v>15</v>
      </c>
      <c r="H230" s="8">
        <v>1.18</v>
      </c>
      <c r="I230" s="4">
        <v>0</v>
      </c>
    </row>
    <row r="231" spans="1:9" x14ac:dyDescent="0.2">
      <c r="A231" s="2">
        <v>6</v>
      </c>
      <c r="B231" s="1" t="s">
        <v>167</v>
      </c>
      <c r="C231" s="4">
        <v>48</v>
      </c>
      <c r="D231" s="8">
        <v>2.34</v>
      </c>
      <c r="E231" s="4">
        <v>44</v>
      </c>
      <c r="F231" s="8">
        <v>5.68</v>
      </c>
      <c r="G231" s="4">
        <v>4</v>
      </c>
      <c r="H231" s="8">
        <v>0.32</v>
      </c>
      <c r="I231" s="4">
        <v>0</v>
      </c>
    </row>
    <row r="232" spans="1:9" x14ac:dyDescent="0.2">
      <c r="A232" s="2">
        <v>7</v>
      </c>
      <c r="B232" s="1" t="s">
        <v>171</v>
      </c>
      <c r="C232" s="4">
        <v>46</v>
      </c>
      <c r="D232" s="8">
        <v>2.25</v>
      </c>
      <c r="E232" s="4">
        <v>38</v>
      </c>
      <c r="F232" s="8">
        <v>4.9000000000000004</v>
      </c>
      <c r="G232" s="4">
        <v>8</v>
      </c>
      <c r="H232" s="8">
        <v>0.63</v>
      </c>
      <c r="I232" s="4">
        <v>0</v>
      </c>
    </row>
    <row r="233" spans="1:9" x14ac:dyDescent="0.2">
      <c r="A233" s="2">
        <v>8</v>
      </c>
      <c r="B233" s="1" t="s">
        <v>160</v>
      </c>
      <c r="C233" s="4">
        <v>41</v>
      </c>
      <c r="D233" s="8">
        <v>2</v>
      </c>
      <c r="E233" s="4">
        <v>6</v>
      </c>
      <c r="F233" s="8">
        <v>0.77</v>
      </c>
      <c r="G233" s="4">
        <v>35</v>
      </c>
      <c r="H233" s="8">
        <v>2.76</v>
      </c>
      <c r="I233" s="4">
        <v>0</v>
      </c>
    </row>
    <row r="234" spans="1:9" x14ac:dyDescent="0.2">
      <c r="A234" s="2">
        <v>9</v>
      </c>
      <c r="B234" s="1" t="s">
        <v>172</v>
      </c>
      <c r="C234" s="4">
        <v>39</v>
      </c>
      <c r="D234" s="8">
        <v>1.91</v>
      </c>
      <c r="E234" s="4">
        <v>1</v>
      </c>
      <c r="F234" s="8">
        <v>0.13</v>
      </c>
      <c r="G234" s="4">
        <v>38</v>
      </c>
      <c r="H234" s="8">
        <v>3</v>
      </c>
      <c r="I234" s="4">
        <v>0</v>
      </c>
    </row>
    <row r="235" spans="1:9" x14ac:dyDescent="0.2">
      <c r="A235" s="2">
        <v>10</v>
      </c>
      <c r="B235" s="1" t="s">
        <v>170</v>
      </c>
      <c r="C235" s="4">
        <v>34</v>
      </c>
      <c r="D235" s="8">
        <v>1.66</v>
      </c>
      <c r="E235" s="4">
        <v>22</v>
      </c>
      <c r="F235" s="8">
        <v>2.84</v>
      </c>
      <c r="G235" s="4">
        <v>12</v>
      </c>
      <c r="H235" s="8">
        <v>0.95</v>
      </c>
      <c r="I235" s="4">
        <v>0</v>
      </c>
    </row>
    <row r="236" spans="1:9" x14ac:dyDescent="0.2">
      <c r="A236" s="2">
        <v>11</v>
      </c>
      <c r="B236" s="1" t="s">
        <v>194</v>
      </c>
      <c r="C236" s="4">
        <v>33</v>
      </c>
      <c r="D236" s="8">
        <v>1.61</v>
      </c>
      <c r="E236" s="4">
        <v>3</v>
      </c>
      <c r="F236" s="8">
        <v>0.39</v>
      </c>
      <c r="G236" s="4">
        <v>30</v>
      </c>
      <c r="H236" s="8">
        <v>2.37</v>
      </c>
      <c r="I236" s="4">
        <v>0</v>
      </c>
    </row>
    <row r="237" spans="1:9" x14ac:dyDescent="0.2">
      <c r="A237" s="2">
        <v>11</v>
      </c>
      <c r="B237" s="1" t="s">
        <v>173</v>
      </c>
      <c r="C237" s="4">
        <v>33</v>
      </c>
      <c r="D237" s="8">
        <v>1.61</v>
      </c>
      <c r="E237" s="4">
        <v>2</v>
      </c>
      <c r="F237" s="8">
        <v>0.26</v>
      </c>
      <c r="G237" s="4">
        <v>31</v>
      </c>
      <c r="H237" s="8">
        <v>2.44</v>
      </c>
      <c r="I237" s="4">
        <v>0</v>
      </c>
    </row>
    <row r="238" spans="1:9" x14ac:dyDescent="0.2">
      <c r="A238" s="2">
        <v>13</v>
      </c>
      <c r="B238" s="1" t="s">
        <v>158</v>
      </c>
      <c r="C238" s="4">
        <v>30</v>
      </c>
      <c r="D238" s="8">
        <v>1.47</v>
      </c>
      <c r="E238" s="4">
        <v>20</v>
      </c>
      <c r="F238" s="8">
        <v>2.58</v>
      </c>
      <c r="G238" s="4">
        <v>10</v>
      </c>
      <c r="H238" s="8">
        <v>0.79</v>
      </c>
      <c r="I238" s="4">
        <v>0</v>
      </c>
    </row>
    <row r="239" spans="1:9" x14ac:dyDescent="0.2">
      <c r="A239" s="2">
        <v>14</v>
      </c>
      <c r="B239" s="1" t="s">
        <v>187</v>
      </c>
      <c r="C239" s="4">
        <v>28</v>
      </c>
      <c r="D239" s="8">
        <v>1.37</v>
      </c>
      <c r="E239" s="4">
        <v>1</v>
      </c>
      <c r="F239" s="8">
        <v>0.13</v>
      </c>
      <c r="G239" s="4">
        <v>27</v>
      </c>
      <c r="H239" s="8">
        <v>2.13</v>
      </c>
      <c r="I239" s="4">
        <v>0</v>
      </c>
    </row>
    <row r="240" spans="1:9" x14ac:dyDescent="0.2">
      <c r="A240" s="2">
        <v>15</v>
      </c>
      <c r="B240" s="1" t="s">
        <v>157</v>
      </c>
      <c r="C240" s="4">
        <v>27</v>
      </c>
      <c r="D240" s="8">
        <v>1.32</v>
      </c>
      <c r="E240" s="4">
        <v>11</v>
      </c>
      <c r="F240" s="8">
        <v>1.42</v>
      </c>
      <c r="G240" s="4">
        <v>16</v>
      </c>
      <c r="H240" s="8">
        <v>1.26</v>
      </c>
      <c r="I240" s="4">
        <v>0</v>
      </c>
    </row>
    <row r="241" spans="1:9" x14ac:dyDescent="0.2">
      <c r="A241" s="2">
        <v>16</v>
      </c>
      <c r="B241" s="1" t="s">
        <v>153</v>
      </c>
      <c r="C241" s="4">
        <v>26</v>
      </c>
      <c r="D241" s="8">
        <v>1.27</v>
      </c>
      <c r="E241" s="4">
        <v>1</v>
      </c>
      <c r="F241" s="8">
        <v>0.13</v>
      </c>
      <c r="G241" s="4">
        <v>25</v>
      </c>
      <c r="H241" s="8">
        <v>1.97</v>
      </c>
      <c r="I241" s="4">
        <v>0</v>
      </c>
    </row>
    <row r="242" spans="1:9" x14ac:dyDescent="0.2">
      <c r="A242" s="2">
        <v>16</v>
      </c>
      <c r="B242" s="1" t="s">
        <v>186</v>
      </c>
      <c r="C242" s="4">
        <v>26</v>
      </c>
      <c r="D242" s="8">
        <v>1.27</v>
      </c>
      <c r="E242" s="4">
        <v>12</v>
      </c>
      <c r="F242" s="8">
        <v>1.55</v>
      </c>
      <c r="G242" s="4">
        <v>14</v>
      </c>
      <c r="H242" s="8">
        <v>1.1000000000000001</v>
      </c>
      <c r="I242" s="4">
        <v>0</v>
      </c>
    </row>
    <row r="243" spans="1:9" x14ac:dyDescent="0.2">
      <c r="A243" s="2">
        <v>18</v>
      </c>
      <c r="B243" s="1" t="s">
        <v>175</v>
      </c>
      <c r="C243" s="4">
        <v>24</v>
      </c>
      <c r="D243" s="8">
        <v>1.17</v>
      </c>
      <c r="E243" s="4">
        <v>18</v>
      </c>
      <c r="F243" s="8">
        <v>2.3199999999999998</v>
      </c>
      <c r="G243" s="4">
        <v>6</v>
      </c>
      <c r="H243" s="8">
        <v>0.47</v>
      </c>
      <c r="I243" s="4">
        <v>0</v>
      </c>
    </row>
    <row r="244" spans="1:9" x14ac:dyDescent="0.2">
      <c r="A244" s="2">
        <v>19</v>
      </c>
      <c r="B244" s="1" t="s">
        <v>195</v>
      </c>
      <c r="C244" s="4">
        <v>23</v>
      </c>
      <c r="D244" s="8">
        <v>1.1200000000000001</v>
      </c>
      <c r="E244" s="4">
        <v>2</v>
      </c>
      <c r="F244" s="8">
        <v>0.26</v>
      </c>
      <c r="G244" s="4">
        <v>21</v>
      </c>
      <c r="H244" s="8">
        <v>1.66</v>
      </c>
      <c r="I244" s="4">
        <v>0</v>
      </c>
    </row>
    <row r="245" spans="1:9" x14ac:dyDescent="0.2">
      <c r="A245" s="2">
        <v>19</v>
      </c>
      <c r="B245" s="1" t="s">
        <v>179</v>
      </c>
      <c r="C245" s="4">
        <v>23</v>
      </c>
      <c r="D245" s="8">
        <v>1.1200000000000001</v>
      </c>
      <c r="E245" s="4">
        <v>12</v>
      </c>
      <c r="F245" s="8">
        <v>1.55</v>
      </c>
      <c r="G245" s="4">
        <v>11</v>
      </c>
      <c r="H245" s="8">
        <v>0.87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168</v>
      </c>
      <c r="C248" s="4">
        <v>171</v>
      </c>
      <c r="D248" s="8">
        <v>3.67</v>
      </c>
      <c r="E248" s="4">
        <v>149</v>
      </c>
      <c r="F248" s="8">
        <v>7.97</v>
      </c>
      <c r="G248" s="4">
        <v>22</v>
      </c>
      <c r="H248" s="8">
        <v>0.79</v>
      </c>
      <c r="I248" s="4">
        <v>0</v>
      </c>
    </row>
    <row r="249" spans="1:9" x14ac:dyDescent="0.2">
      <c r="A249" s="2">
        <v>2</v>
      </c>
      <c r="B249" s="1" t="s">
        <v>165</v>
      </c>
      <c r="C249" s="4">
        <v>144</v>
      </c>
      <c r="D249" s="8">
        <v>3.09</v>
      </c>
      <c r="E249" s="4">
        <v>138</v>
      </c>
      <c r="F249" s="8">
        <v>7.38</v>
      </c>
      <c r="G249" s="4">
        <v>6</v>
      </c>
      <c r="H249" s="8">
        <v>0.22</v>
      </c>
      <c r="I249" s="4">
        <v>0</v>
      </c>
    </row>
    <row r="250" spans="1:9" x14ac:dyDescent="0.2">
      <c r="A250" s="2">
        <v>3</v>
      </c>
      <c r="B250" s="1" t="s">
        <v>167</v>
      </c>
      <c r="C250" s="4">
        <v>130</v>
      </c>
      <c r="D250" s="8">
        <v>2.79</v>
      </c>
      <c r="E250" s="4">
        <v>127</v>
      </c>
      <c r="F250" s="8">
        <v>6.79</v>
      </c>
      <c r="G250" s="4">
        <v>3</v>
      </c>
      <c r="H250" s="8">
        <v>0.11</v>
      </c>
      <c r="I250" s="4">
        <v>0</v>
      </c>
    </row>
    <row r="251" spans="1:9" x14ac:dyDescent="0.2">
      <c r="A251" s="2">
        <v>4</v>
      </c>
      <c r="B251" s="1" t="s">
        <v>161</v>
      </c>
      <c r="C251" s="4">
        <v>127</v>
      </c>
      <c r="D251" s="8">
        <v>2.73</v>
      </c>
      <c r="E251" s="4">
        <v>4</v>
      </c>
      <c r="F251" s="8">
        <v>0.21</v>
      </c>
      <c r="G251" s="4">
        <v>123</v>
      </c>
      <c r="H251" s="8">
        <v>4.41</v>
      </c>
      <c r="I251" s="4">
        <v>0</v>
      </c>
    </row>
    <row r="252" spans="1:9" x14ac:dyDescent="0.2">
      <c r="A252" s="2">
        <v>5</v>
      </c>
      <c r="B252" s="1" t="s">
        <v>171</v>
      </c>
      <c r="C252" s="4">
        <v>122</v>
      </c>
      <c r="D252" s="8">
        <v>2.62</v>
      </c>
      <c r="E252" s="4">
        <v>103</v>
      </c>
      <c r="F252" s="8">
        <v>5.51</v>
      </c>
      <c r="G252" s="4">
        <v>19</v>
      </c>
      <c r="H252" s="8">
        <v>0.68</v>
      </c>
      <c r="I252" s="4">
        <v>0</v>
      </c>
    </row>
    <row r="253" spans="1:9" x14ac:dyDescent="0.2">
      <c r="A253" s="2">
        <v>6</v>
      </c>
      <c r="B253" s="1" t="s">
        <v>164</v>
      </c>
      <c r="C253" s="4">
        <v>108</v>
      </c>
      <c r="D253" s="8">
        <v>2.3199999999999998</v>
      </c>
      <c r="E253" s="4">
        <v>99</v>
      </c>
      <c r="F253" s="8">
        <v>5.29</v>
      </c>
      <c r="G253" s="4">
        <v>9</v>
      </c>
      <c r="H253" s="8">
        <v>0.32</v>
      </c>
      <c r="I253" s="4">
        <v>0</v>
      </c>
    </row>
    <row r="254" spans="1:9" x14ac:dyDescent="0.2">
      <c r="A254" s="2">
        <v>7</v>
      </c>
      <c r="B254" s="1" t="s">
        <v>163</v>
      </c>
      <c r="C254" s="4">
        <v>106</v>
      </c>
      <c r="D254" s="8">
        <v>2.2799999999999998</v>
      </c>
      <c r="E254" s="4">
        <v>82</v>
      </c>
      <c r="F254" s="8">
        <v>4.3899999999999997</v>
      </c>
      <c r="G254" s="4">
        <v>24</v>
      </c>
      <c r="H254" s="8">
        <v>0.86</v>
      </c>
      <c r="I254" s="4">
        <v>0</v>
      </c>
    </row>
    <row r="255" spans="1:9" x14ac:dyDescent="0.2">
      <c r="A255" s="2">
        <v>8</v>
      </c>
      <c r="B255" s="1" t="s">
        <v>156</v>
      </c>
      <c r="C255" s="4">
        <v>97</v>
      </c>
      <c r="D255" s="8">
        <v>2.08</v>
      </c>
      <c r="E255" s="4">
        <v>33</v>
      </c>
      <c r="F255" s="8">
        <v>1.76</v>
      </c>
      <c r="G255" s="4">
        <v>64</v>
      </c>
      <c r="H255" s="8">
        <v>2.2999999999999998</v>
      </c>
      <c r="I255" s="4">
        <v>0</v>
      </c>
    </row>
    <row r="256" spans="1:9" x14ac:dyDescent="0.2">
      <c r="A256" s="2">
        <v>9</v>
      </c>
      <c r="B256" s="1" t="s">
        <v>188</v>
      </c>
      <c r="C256" s="4">
        <v>89</v>
      </c>
      <c r="D256" s="8">
        <v>1.91</v>
      </c>
      <c r="E256" s="4">
        <v>45</v>
      </c>
      <c r="F256" s="8">
        <v>2.41</v>
      </c>
      <c r="G256" s="4">
        <v>44</v>
      </c>
      <c r="H256" s="8">
        <v>1.58</v>
      </c>
      <c r="I256" s="4">
        <v>0</v>
      </c>
    </row>
    <row r="257" spans="1:9" x14ac:dyDescent="0.2">
      <c r="A257" s="2">
        <v>10</v>
      </c>
      <c r="B257" s="1" t="s">
        <v>170</v>
      </c>
      <c r="C257" s="4">
        <v>87</v>
      </c>
      <c r="D257" s="8">
        <v>1.87</v>
      </c>
      <c r="E257" s="4">
        <v>58</v>
      </c>
      <c r="F257" s="8">
        <v>3.1</v>
      </c>
      <c r="G257" s="4">
        <v>29</v>
      </c>
      <c r="H257" s="8">
        <v>1.04</v>
      </c>
      <c r="I257" s="4">
        <v>0</v>
      </c>
    </row>
    <row r="258" spans="1:9" x14ac:dyDescent="0.2">
      <c r="A258" s="2">
        <v>11</v>
      </c>
      <c r="B258" s="1" t="s">
        <v>154</v>
      </c>
      <c r="C258" s="4">
        <v>83</v>
      </c>
      <c r="D258" s="8">
        <v>1.78</v>
      </c>
      <c r="E258" s="4">
        <v>18</v>
      </c>
      <c r="F258" s="8">
        <v>0.96</v>
      </c>
      <c r="G258" s="4">
        <v>65</v>
      </c>
      <c r="H258" s="8">
        <v>2.33</v>
      </c>
      <c r="I258" s="4">
        <v>0</v>
      </c>
    </row>
    <row r="259" spans="1:9" x14ac:dyDescent="0.2">
      <c r="A259" s="2">
        <v>12</v>
      </c>
      <c r="B259" s="1" t="s">
        <v>196</v>
      </c>
      <c r="C259" s="4">
        <v>79</v>
      </c>
      <c r="D259" s="8">
        <v>1.7</v>
      </c>
      <c r="E259" s="4">
        <v>21</v>
      </c>
      <c r="F259" s="8">
        <v>1.1200000000000001</v>
      </c>
      <c r="G259" s="4">
        <v>58</v>
      </c>
      <c r="H259" s="8">
        <v>2.08</v>
      </c>
      <c r="I259" s="4">
        <v>0</v>
      </c>
    </row>
    <row r="260" spans="1:9" x14ac:dyDescent="0.2">
      <c r="A260" s="2">
        <v>13</v>
      </c>
      <c r="B260" s="1" t="s">
        <v>155</v>
      </c>
      <c r="C260" s="4">
        <v>74</v>
      </c>
      <c r="D260" s="8">
        <v>1.59</v>
      </c>
      <c r="E260" s="4">
        <v>9</v>
      </c>
      <c r="F260" s="8">
        <v>0.48</v>
      </c>
      <c r="G260" s="4">
        <v>65</v>
      </c>
      <c r="H260" s="8">
        <v>2.33</v>
      </c>
      <c r="I260" s="4">
        <v>0</v>
      </c>
    </row>
    <row r="261" spans="1:9" x14ac:dyDescent="0.2">
      <c r="A261" s="2">
        <v>14</v>
      </c>
      <c r="B261" s="1" t="s">
        <v>197</v>
      </c>
      <c r="C261" s="4">
        <v>71</v>
      </c>
      <c r="D261" s="8">
        <v>1.52</v>
      </c>
      <c r="E261" s="4">
        <v>13</v>
      </c>
      <c r="F261" s="8">
        <v>0.7</v>
      </c>
      <c r="G261" s="4">
        <v>58</v>
      </c>
      <c r="H261" s="8">
        <v>2.08</v>
      </c>
      <c r="I261" s="4">
        <v>0</v>
      </c>
    </row>
    <row r="262" spans="1:9" x14ac:dyDescent="0.2">
      <c r="A262" s="2">
        <v>15</v>
      </c>
      <c r="B262" s="1" t="s">
        <v>172</v>
      </c>
      <c r="C262" s="4">
        <v>68</v>
      </c>
      <c r="D262" s="8">
        <v>1.46</v>
      </c>
      <c r="E262" s="4">
        <v>8</v>
      </c>
      <c r="F262" s="8">
        <v>0.43</v>
      </c>
      <c r="G262" s="4">
        <v>60</v>
      </c>
      <c r="H262" s="8">
        <v>2.15</v>
      </c>
      <c r="I262" s="4">
        <v>0</v>
      </c>
    </row>
    <row r="263" spans="1:9" x14ac:dyDescent="0.2">
      <c r="A263" s="2">
        <v>16</v>
      </c>
      <c r="B263" s="1" t="s">
        <v>186</v>
      </c>
      <c r="C263" s="4">
        <v>65</v>
      </c>
      <c r="D263" s="8">
        <v>1.4</v>
      </c>
      <c r="E263" s="4">
        <v>47</v>
      </c>
      <c r="F263" s="8">
        <v>2.5099999999999998</v>
      </c>
      <c r="G263" s="4">
        <v>18</v>
      </c>
      <c r="H263" s="8">
        <v>0.65</v>
      </c>
      <c r="I263" s="4">
        <v>0</v>
      </c>
    </row>
    <row r="264" spans="1:9" x14ac:dyDescent="0.2">
      <c r="A264" s="2">
        <v>17</v>
      </c>
      <c r="B264" s="1" t="s">
        <v>173</v>
      </c>
      <c r="C264" s="4">
        <v>64</v>
      </c>
      <c r="D264" s="8">
        <v>1.37</v>
      </c>
      <c r="E264" s="4">
        <v>9</v>
      </c>
      <c r="F264" s="8">
        <v>0.48</v>
      </c>
      <c r="G264" s="4">
        <v>55</v>
      </c>
      <c r="H264" s="8">
        <v>1.97</v>
      </c>
      <c r="I264" s="4">
        <v>0</v>
      </c>
    </row>
    <row r="265" spans="1:9" x14ac:dyDescent="0.2">
      <c r="A265" s="2">
        <v>18</v>
      </c>
      <c r="B265" s="1" t="s">
        <v>166</v>
      </c>
      <c r="C265" s="4">
        <v>61</v>
      </c>
      <c r="D265" s="8">
        <v>1.31</v>
      </c>
      <c r="E265" s="4">
        <v>34</v>
      </c>
      <c r="F265" s="8">
        <v>1.82</v>
      </c>
      <c r="G265" s="4">
        <v>27</v>
      </c>
      <c r="H265" s="8">
        <v>0.97</v>
      </c>
      <c r="I265" s="4">
        <v>0</v>
      </c>
    </row>
    <row r="266" spans="1:9" x14ac:dyDescent="0.2">
      <c r="A266" s="2">
        <v>19</v>
      </c>
      <c r="B266" s="1" t="s">
        <v>158</v>
      </c>
      <c r="C266" s="4">
        <v>59</v>
      </c>
      <c r="D266" s="8">
        <v>1.27</v>
      </c>
      <c r="E266" s="4">
        <v>35</v>
      </c>
      <c r="F266" s="8">
        <v>1.87</v>
      </c>
      <c r="G266" s="4">
        <v>24</v>
      </c>
      <c r="H266" s="8">
        <v>0.86</v>
      </c>
      <c r="I266" s="4">
        <v>0</v>
      </c>
    </row>
    <row r="267" spans="1:9" x14ac:dyDescent="0.2">
      <c r="A267" s="2">
        <v>20</v>
      </c>
      <c r="B267" s="1" t="s">
        <v>198</v>
      </c>
      <c r="C267" s="4">
        <v>57</v>
      </c>
      <c r="D267" s="8">
        <v>1.22</v>
      </c>
      <c r="E267" s="4">
        <v>27</v>
      </c>
      <c r="F267" s="8">
        <v>1.44</v>
      </c>
      <c r="G267" s="4">
        <v>30</v>
      </c>
      <c r="H267" s="8">
        <v>1.08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165</v>
      </c>
      <c r="C270" s="4">
        <v>114</v>
      </c>
      <c r="D270" s="8">
        <v>3.65</v>
      </c>
      <c r="E270" s="4">
        <v>101</v>
      </c>
      <c r="F270" s="8">
        <v>9.67</v>
      </c>
      <c r="G270" s="4">
        <v>13</v>
      </c>
      <c r="H270" s="8">
        <v>0.63</v>
      </c>
      <c r="I270" s="4">
        <v>0</v>
      </c>
    </row>
    <row r="271" spans="1:9" x14ac:dyDescent="0.2">
      <c r="A271" s="2">
        <v>2</v>
      </c>
      <c r="B271" s="1" t="s">
        <v>168</v>
      </c>
      <c r="C271" s="4">
        <v>102</v>
      </c>
      <c r="D271" s="8">
        <v>3.27</v>
      </c>
      <c r="E271" s="4">
        <v>89</v>
      </c>
      <c r="F271" s="8">
        <v>8.52</v>
      </c>
      <c r="G271" s="4">
        <v>13</v>
      </c>
      <c r="H271" s="8">
        <v>0.63</v>
      </c>
      <c r="I271" s="4">
        <v>0</v>
      </c>
    </row>
    <row r="272" spans="1:9" x14ac:dyDescent="0.2">
      <c r="A272" s="2">
        <v>3</v>
      </c>
      <c r="B272" s="1" t="s">
        <v>196</v>
      </c>
      <c r="C272" s="4">
        <v>83</v>
      </c>
      <c r="D272" s="8">
        <v>2.66</v>
      </c>
      <c r="E272" s="4">
        <v>12</v>
      </c>
      <c r="F272" s="8">
        <v>1.1499999999999999</v>
      </c>
      <c r="G272" s="4">
        <v>71</v>
      </c>
      <c r="H272" s="8">
        <v>3.43</v>
      </c>
      <c r="I272" s="4">
        <v>0</v>
      </c>
    </row>
    <row r="273" spans="1:9" x14ac:dyDescent="0.2">
      <c r="A273" s="2">
        <v>4</v>
      </c>
      <c r="B273" s="1" t="s">
        <v>161</v>
      </c>
      <c r="C273" s="4">
        <v>78</v>
      </c>
      <c r="D273" s="8">
        <v>2.5</v>
      </c>
      <c r="E273" s="4">
        <v>7</v>
      </c>
      <c r="F273" s="8">
        <v>0.67</v>
      </c>
      <c r="G273" s="4">
        <v>71</v>
      </c>
      <c r="H273" s="8">
        <v>3.43</v>
      </c>
      <c r="I273" s="4">
        <v>0</v>
      </c>
    </row>
    <row r="274" spans="1:9" x14ac:dyDescent="0.2">
      <c r="A274" s="2">
        <v>5</v>
      </c>
      <c r="B274" s="1" t="s">
        <v>164</v>
      </c>
      <c r="C274" s="4">
        <v>76</v>
      </c>
      <c r="D274" s="8">
        <v>2.44</v>
      </c>
      <c r="E274" s="4">
        <v>73</v>
      </c>
      <c r="F274" s="8">
        <v>6.99</v>
      </c>
      <c r="G274" s="4">
        <v>3</v>
      </c>
      <c r="H274" s="8">
        <v>0.14000000000000001</v>
      </c>
      <c r="I274" s="4">
        <v>0</v>
      </c>
    </row>
    <row r="275" spans="1:9" x14ac:dyDescent="0.2">
      <c r="A275" s="2">
        <v>6</v>
      </c>
      <c r="B275" s="1" t="s">
        <v>167</v>
      </c>
      <c r="C275" s="4">
        <v>74</v>
      </c>
      <c r="D275" s="8">
        <v>2.37</v>
      </c>
      <c r="E275" s="4">
        <v>66</v>
      </c>
      <c r="F275" s="8">
        <v>6.32</v>
      </c>
      <c r="G275" s="4">
        <v>8</v>
      </c>
      <c r="H275" s="8">
        <v>0.39</v>
      </c>
      <c r="I275" s="4">
        <v>0</v>
      </c>
    </row>
    <row r="276" spans="1:9" x14ac:dyDescent="0.2">
      <c r="A276" s="2">
        <v>7</v>
      </c>
      <c r="B276" s="1" t="s">
        <v>163</v>
      </c>
      <c r="C276" s="4">
        <v>64</v>
      </c>
      <c r="D276" s="8">
        <v>2.0499999999999998</v>
      </c>
      <c r="E276" s="4">
        <v>46</v>
      </c>
      <c r="F276" s="8">
        <v>4.41</v>
      </c>
      <c r="G276" s="4">
        <v>18</v>
      </c>
      <c r="H276" s="8">
        <v>0.87</v>
      </c>
      <c r="I276" s="4">
        <v>0</v>
      </c>
    </row>
    <row r="277" spans="1:9" x14ac:dyDescent="0.2">
      <c r="A277" s="2">
        <v>8</v>
      </c>
      <c r="B277" s="1" t="s">
        <v>171</v>
      </c>
      <c r="C277" s="4">
        <v>62</v>
      </c>
      <c r="D277" s="8">
        <v>1.99</v>
      </c>
      <c r="E277" s="4">
        <v>58</v>
      </c>
      <c r="F277" s="8">
        <v>5.56</v>
      </c>
      <c r="G277" s="4">
        <v>4</v>
      </c>
      <c r="H277" s="8">
        <v>0.19</v>
      </c>
      <c r="I277" s="4">
        <v>0</v>
      </c>
    </row>
    <row r="278" spans="1:9" x14ac:dyDescent="0.2">
      <c r="A278" s="2">
        <v>9</v>
      </c>
      <c r="B278" s="1" t="s">
        <v>154</v>
      </c>
      <c r="C278" s="4">
        <v>57</v>
      </c>
      <c r="D278" s="8">
        <v>1.83</v>
      </c>
      <c r="E278" s="4">
        <v>8</v>
      </c>
      <c r="F278" s="8">
        <v>0.77</v>
      </c>
      <c r="G278" s="4">
        <v>49</v>
      </c>
      <c r="H278" s="8">
        <v>2.37</v>
      </c>
      <c r="I278" s="4">
        <v>0</v>
      </c>
    </row>
    <row r="279" spans="1:9" x14ac:dyDescent="0.2">
      <c r="A279" s="2">
        <v>10</v>
      </c>
      <c r="B279" s="1" t="s">
        <v>156</v>
      </c>
      <c r="C279" s="4">
        <v>56</v>
      </c>
      <c r="D279" s="8">
        <v>1.79</v>
      </c>
      <c r="E279" s="4">
        <v>15</v>
      </c>
      <c r="F279" s="8">
        <v>1.44</v>
      </c>
      <c r="G279" s="4">
        <v>41</v>
      </c>
      <c r="H279" s="8">
        <v>1.98</v>
      </c>
      <c r="I279" s="4">
        <v>0</v>
      </c>
    </row>
    <row r="280" spans="1:9" x14ac:dyDescent="0.2">
      <c r="A280" s="2">
        <v>11</v>
      </c>
      <c r="B280" s="1" t="s">
        <v>155</v>
      </c>
      <c r="C280" s="4">
        <v>54</v>
      </c>
      <c r="D280" s="8">
        <v>1.73</v>
      </c>
      <c r="E280" s="4">
        <v>7</v>
      </c>
      <c r="F280" s="8">
        <v>0.67</v>
      </c>
      <c r="G280" s="4">
        <v>47</v>
      </c>
      <c r="H280" s="8">
        <v>2.27</v>
      </c>
      <c r="I280" s="4">
        <v>0</v>
      </c>
    </row>
    <row r="281" spans="1:9" x14ac:dyDescent="0.2">
      <c r="A281" s="2">
        <v>12</v>
      </c>
      <c r="B281" s="1" t="s">
        <v>170</v>
      </c>
      <c r="C281" s="4">
        <v>52</v>
      </c>
      <c r="D281" s="8">
        <v>1.67</v>
      </c>
      <c r="E281" s="4">
        <v>38</v>
      </c>
      <c r="F281" s="8">
        <v>3.64</v>
      </c>
      <c r="G281" s="4">
        <v>14</v>
      </c>
      <c r="H281" s="8">
        <v>0.68</v>
      </c>
      <c r="I281" s="4">
        <v>0</v>
      </c>
    </row>
    <row r="282" spans="1:9" x14ac:dyDescent="0.2">
      <c r="A282" s="2">
        <v>12</v>
      </c>
      <c r="B282" s="1" t="s">
        <v>188</v>
      </c>
      <c r="C282" s="4">
        <v>52</v>
      </c>
      <c r="D282" s="8">
        <v>1.67</v>
      </c>
      <c r="E282" s="4">
        <v>26</v>
      </c>
      <c r="F282" s="8">
        <v>2.4900000000000002</v>
      </c>
      <c r="G282" s="4">
        <v>26</v>
      </c>
      <c r="H282" s="8">
        <v>1.26</v>
      </c>
      <c r="I282" s="4">
        <v>0</v>
      </c>
    </row>
    <row r="283" spans="1:9" x14ac:dyDescent="0.2">
      <c r="A283" s="2">
        <v>14</v>
      </c>
      <c r="B283" s="1" t="s">
        <v>197</v>
      </c>
      <c r="C283" s="4">
        <v>47</v>
      </c>
      <c r="D283" s="8">
        <v>1.51</v>
      </c>
      <c r="E283" s="4">
        <v>9</v>
      </c>
      <c r="F283" s="8">
        <v>0.86</v>
      </c>
      <c r="G283" s="4">
        <v>38</v>
      </c>
      <c r="H283" s="8">
        <v>1.84</v>
      </c>
      <c r="I283" s="4">
        <v>0</v>
      </c>
    </row>
    <row r="284" spans="1:9" x14ac:dyDescent="0.2">
      <c r="A284" s="2">
        <v>14</v>
      </c>
      <c r="B284" s="1" t="s">
        <v>160</v>
      </c>
      <c r="C284" s="4">
        <v>47</v>
      </c>
      <c r="D284" s="8">
        <v>1.51</v>
      </c>
      <c r="E284" s="4">
        <v>2</v>
      </c>
      <c r="F284" s="8">
        <v>0.19</v>
      </c>
      <c r="G284" s="4">
        <v>45</v>
      </c>
      <c r="H284" s="8">
        <v>2.17</v>
      </c>
      <c r="I284" s="4">
        <v>0</v>
      </c>
    </row>
    <row r="285" spans="1:9" x14ac:dyDescent="0.2">
      <c r="A285" s="2">
        <v>16</v>
      </c>
      <c r="B285" s="1" t="s">
        <v>158</v>
      </c>
      <c r="C285" s="4">
        <v>42</v>
      </c>
      <c r="D285" s="8">
        <v>1.35</v>
      </c>
      <c r="E285" s="4">
        <v>24</v>
      </c>
      <c r="F285" s="8">
        <v>2.2999999999999998</v>
      </c>
      <c r="G285" s="4">
        <v>18</v>
      </c>
      <c r="H285" s="8">
        <v>0.87</v>
      </c>
      <c r="I285" s="4">
        <v>0</v>
      </c>
    </row>
    <row r="286" spans="1:9" x14ac:dyDescent="0.2">
      <c r="A286" s="2">
        <v>17</v>
      </c>
      <c r="B286" s="1" t="s">
        <v>152</v>
      </c>
      <c r="C286" s="4">
        <v>40</v>
      </c>
      <c r="D286" s="8">
        <v>1.28</v>
      </c>
      <c r="E286" s="4">
        <v>1</v>
      </c>
      <c r="F286" s="8">
        <v>0.1</v>
      </c>
      <c r="G286" s="4">
        <v>39</v>
      </c>
      <c r="H286" s="8">
        <v>1.88</v>
      </c>
      <c r="I286" s="4">
        <v>0</v>
      </c>
    </row>
    <row r="287" spans="1:9" x14ac:dyDescent="0.2">
      <c r="A287" s="2">
        <v>18</v>
      </c>
      <c r="B287" s="1" t="s">
        <v>200</v>
      </c>
      <c r="C287" s="4">
        <v>39</v>
      </c>
      <c r="D287" s="8">
        <v>1.25</v>
      </c>
      <c r="E287" s="4">
        <v>3</v>
      </c>
      <c r="F287" s="8">
        <v>0.28999999999999998</v>
      </c>
      <c r="G287" s="4">
        <v>36</v>
      </c>
      <c r="H287" s="8">
        <v>1.74</v>
      </c>
      <c r="I287" s="4">
        <v>0</v>
      </c>
    </row>
    <row r="288" spans="1:9" x14ac:dyDescent="0.2">
      <c r="A288" s="2">
        <v>18</v>
      </c>
      <c r="B288" s="1" t="s">
        <v>201</v>
      </c>
      <c r="C288" s="4">
        <v>39</v>
      </c>
      <c r="D288" s="8">
        <v>1.25</v>
      </c>
      <c r="E288" s="4">
        <v>8</v>
      </c>
      <c r="F288" s="8">
        <v>0.77</v>
      </c>
      <c r="G288" s="4">
        <v>31</v>
      </c>
      <c r="H288" s="8">
        <v>1.5</v>
      </c>
      <c r="I288" s="4">
        <v>0</v>
      </c>
    </row>
    <row r="289" spans="1:9" x14ac:dyDescent="0.2">
      <c r="A289" s="2">
        <v>20</v>
      </c>
      <c r="B289" s="1" t="s">
        <v>199</v>
      </c>
      <c r="C289" s="4">
        <v>38</v>
      </c>
      <c r="D289" s="8">
        <v>1.22</v>
      </c>
      <c r="E289" s="4">
        <v>3</v>
      </c>
      <c r="F289" s="8">
        <v>0.28999999999999998</v>
      </c>
      <c r="G289" s="4">
        <v>35</v>
      </c>
      <c r="H289" s="8">
        <v>1.69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168</v>
      </c>
      <c r="C292" s="4">
        <v>128</v>
      </c>
      <c r="D292" s="8">
        <v>4.07</v>
      </c>
      <c r="E292" s="4">
        <v>105</v>
      </c>
      <c r="F292" s="8">
        <v>8.5</v>
      </c>
      <c r="G292" s="4">
        <v>23</v>
      </c>
      <c r="H292" s="8">
        <v>1.21</v>
      </c>
      <c r="I292" s="4">
        <v>0</v>
      </c>
    </row>
    <row r="293" spans="1:9" x14ac:dyDescent="0.2">
      <c r="A293" s="2">
        <v>2</v>
      </c>
      <c r="B293" s="1" t="s">
        <v>167</v>
      </c>
      <c r="C293" s="4">
        <v>107</v>
      </c>
      <c r="D293" s="8">
        <v>3.4</v>
      </c>
      <c r="E293" s="4">
        <v>101</v>
      </c>
      <c r="F293" s="8">
        <v>8.18</v>
      </c>
      <c r="G293" s="4">
        <v>6</v>
      </c>
      <c r="H293" s="8">
        <v>0.31</v>
      </c>
      <c r="I293" s="4">
        <v>0</v>
      </c>
    </row>
    <row r="294" spans="1:9" x14ac:dyDescent="0.2">
      <c r="A294" s="2">
        <v>3</v>
      </c>
      <c r="B294" s="1" t="s">
        <v>165</v>
      </c>
      <c r="C294" s="4">
        <v>106</v>
      </c>
      <c r="D294" s="8">
        <v>3.37</v>
      </c>
      <c r="E294" s="4">
        <v>102</v>
      </c>
      <c r="F294" s="8">
        <v>8.26</v>
      </c>
      <c r="G294" s="4">
        <v>4</v>
      </c>
      <c r="H294" s="8">
        <v>0.21</v>
      </c>
      <c r="I294" s="4">
        <v>0</v>
      </c>
    </row>
    <row r="295" spans="1:9" x14ac:dyDescent="0.2">
      <c r="A295" s="2">
        <v>4</v>
      </c>
      <c r="B295" s="1" t="s">
        <v>164</v>
      </c>
      <c r="C295" s="4">
        <v>85</v>
      </c>
      <c r="D295" s="8">
        <v>2.7</v>
      </c>
      <c r="E295" s="4">
        <v>77</v>
      </c>
      <c r="F295" s="8">
        <v>6.23</v>
      </c>
      <c r="G295" s="4">
        <v>8</v>
      </c>
      <c r="H295" s="8">
        <v>0.42</v>
      </c>
      <c r="I295" s="4">
        <v>0</v>
      </c>
    </row>
    <row r="296" spans="1:9" x14ac:dyDescent="0.2">
      <c r="A296" s="2">
        <v>5</v>
      </c>
      <c r="B296" s="1" t="s">
        <v>171</v>
      </c>
      <c r="C296" s="4">
        <v>82</v>
      </c>
      <c r="D296" s="8">
        <v>2.61</v>
      </c>
      <c r="E296" s="4">
        <v>72</v>
      </c>
      <c r="F296" s="8">
        <v>5.83</v>
      </c>
      <c r="G296" s="4">
        <v>10</v>
      </c>
      <c r="H296" s="8">
        <v>0.52</v>
      </c>
      <c r="I296" s="4">
        <v>0</v>
      </c>
    </row>
    <row r="297" spans="1:9" x14ac:dyDescent="0.2">
      <c r="A297" s="2">
        <v>6</v>
      </c>
      <c r="B297" s="1" t="s">
        <v>161</v>
      </c>
      <c r="C297" s="4">
        <v>76</v>
      </c>
      <c r="D297" s="8">
        <v>2.42</v>
      </c>
      <c r="E297" s="4">
        <v>7</v>
      </c>
      <c r="F297" s="8">
        <v>0.56999999999999995</v>
      </c>
      <c r="G297" s="4">
        <v>69</v>
      </c>
      <c r="H297" s="8">
        <v>3.62</v>
      </c>
      <c r="I297" s="4">
        <v>0</v>
      </c>
    </row>
    <row r="298" spans="1:9" x14ac:dyDescent="0.2">
      <c r="A298" s="2">
        <v>7</v>
      </c>
      <c r="B298" s="1" t="s">
        <v>155</v>
      </c>
      <c r="C298" s="4">
        <v>64</v>
      </c>
      <c r="D298" s="8">
        <v>2.04</v>
      </c>
      <c r="E298" s="4">
        <v>6</v>
      </c>
      <c r="F298" s="8">
        <v>0.49</v>
      </c>
      <c r="G298" s="4">
        <v>58</v>
      </c>
      <c r="H298" s="8">
        <v>3.04</v>
      </c>
      <c r="I298" s="4">
        <v>0</v>
      </c>
    </row>
    <row r="299" spans="1:9" x14ac:dyDescent="0.2">
      <c r="A299" s="2">
        <v>8</v>
      </c>
      <c r="B299" s="1" t="s">
        <v>197</v>
      </c>
      <c r="C299" s="4">
        <v>63</v>
      </c>
      <c r="D299" s="8">
        <v>2</v>
      </c>
      <c r="E299" s="4">
        <v>10</v>
      </c>
      <c r="F299" s="8">
        <v>0.81</v>
      </c>
      <c r="G299" s="4">
        <v>53</v>
      </c>
      <c r="H299" s="8">
        <v>2.78</v>
      </c>
      <c r="I299" s="4">
        <v>0</v>
      </c>
    </row>
    <row r="300" spans="1:9" x14ac:dyDescent="0.2">
      <c r="A300" s="2">
        <v>9</v>
      </c>
      <c r="B300" s="1" t="s">
        <v>166</v>
      </c>
      <c r="C300" s="4">
        <v>58</v>
      </c>
      <c r="D300" s="8">
        <v>1.84</v>
      </c>
      <c r="E300" s="4">
        <v>44</v>
      </c>
      <c r="F300" s="8">
        <v>3.56</v>
      </c>
      <c r="G300" s="4">
        <v>14</v>
      </c>
      <c r="H300" s="8">
        <v>0.73</v>
      </c>
      <c r="I300" s="4">
        <v>0</v>
      </c>
    </row>
    <row r="301" spans="1:9" x14ac:dyDescent="0.2">
      <c r="A301" s="2">
        <v>9</v>
      </c>
      <c r="B301" s="1" t="s">
        <v>170</v>
      </c>
      <c r="C301" s="4">
        <v>58</v>
      </c>
      <c r="D301" s="8">
        <v>1.84</v>
      </c>
      <c r="E301" s="4">
        <v>45</v>
      </c>
      <c r="F301" s="8">
        <v>3.64</v>
      </c>
      <c r="G301" s="4">
        <v>13</v>
      </c>
      <c r="H301" s="8">
        <v>0.68</v>
      </c>
      <c r="I301" s="4">
        <v>0</v>
      </c>
    </row>
    <row r="302" spans="1:9" x14ac:dyDescent="0.2">
      <c r="A302" s="2">
        <v>11</v>
      </c>
      <c r="B302" s="1" t="s">
        <v>158</v>
      </c>
      <c r="C302" s="4">
        <v>57</v>
      </c>
      <c r="D302" s="8">
        <v>1.81</v>
      </c>
      <c r="E302" s="4">
        <v>32</v>
      </c>
      <c r="F302" s="8">
        <v>2.59</v>
      </c>
      <c r="G302" s="4">
        <v>25</v>
      </c>
      <c r="H302" s="8">
        <v>1.31</v>
      </c>
      <c r="I302" s="4">
        <v>0</v>
      </c>
    </row>
    <row r="303" spans="1:9" x14ac:dyDescent="0.2">
      <c r="A303" s="2">
        <v>12</v>
      </c>
      <c r="B303" s="1" t="s">
        <v>163</v>
      </c>
      <c r="C303" s="4">
        <v>55</v>
      </c>
      <c r="D303" s="8">
        <v>1.75</v>
      </c>
      <c r="E303" s="4">
        <v>40</v>
      </c>
      <c r="F303" s="8">
        <v>3.24</v>
      </c>
      <c r="G303" s="4">
        <v>15</v>
      </c>
      <c r="H303" s="8">
        <v>0.79</v>
      </c>
      <c r="I303" s="4">
        <v>0</v>
      </c>
    </row>
    <row r="304" spans="1:9" x14ac:dyDescent="0.2">
      <c r="A304" s="2">
        <v>13</v>
      </c>
      <c r="B304" s="1" t="s">
        <v>160</v>
      </c>
      <c r="C304" s="4">
        <v>54</v>
      </c>
      <c r="D304" s="8">
        <v>1.72</v>
      </c>
      <c r="E304" s="4">
        <v>6</v>
      </c>
      <c r="F304" s="8">
        <v>0.49</v>
      </c>
      <c r="G304" s="4">
        <v>48</v>
      </c>
      <c r="H304" s="8">
        <v>2.52</v>
      </c>
      <c r="I304" s="4">
        <v>0</v>
      </c>
    </row>
    <row r="305" spans="1:9" x14ac:dyDescent="0.2">
      <c r="A305" s="2">
        <v>14</v>
      </c>
      <c r="B305" s="1" t="s">
        <v>202</v>
      </c>
      <c r="C305" s="4">
        <v>51</v>
      </c>
      <c r="D305" s="8">
        <v>1.62</v>
      </c>
      <c r="E305" s="4">
        <v>3</v>
      </c>
      <c r="F305" s="8">
        <v>0.24</v>
      </c>
      <c r="G305" s="4">
        <v>48</v>
      </c>
      <c r="H305" s="8">
        <v>2.52</v>
      </c>
      <c r="I305" s="4">
        <v>0</v>
      </c>
    </row>
    <row r="306" spans="1:9" x14ac:dyDescent="0.2">
      <c r="A306" s="2">
        <v>15</v>
      </c>
      <c r="B306" s="1" t="s">
        <v>154</v>
      </c>
      <c r="C306" s="4">
        <v>50</v>
      </c>
      <c r="D306" s="8">
        <v>1.59</v>
      </c>
      <c r="E306" s="4">
        <v>8</v>
      </c>
      <c r="F306" s="8">
        <v>0.65</v>
      </c>
      <c r="G306" s="4">
        <v>42</v>
      </c>
      <c r="H306" s="8">
        <v>2.2000000000000002</v>
      </c>
      <c r="I306" s="4">
        <v>0</v>
      </c>
    </row>
    <row r="307" spans="1:9" x14ac:dyDescent="0.2">
      <c r="A307" s="2">
        <v>16</v>
      </c>
      <c r="B307" s="1" t="s">
        <v>201</v>
      </c>
      <c r="C307" s="4">
        <v>49</v>
      </c>
      <c r="D307" s="8">
        <v>1.56</v>
      </c>
      <c r="E307" s="4">
        <v>7</v>
      </c>
      <c r="F307" s="8">
        <v>0.56999999999999995</v>
      </c>
      <c r="G307" s="4">
        <v>42</v>
      </c>
      <c r="H307" s="8">
        <v>2.2000000000000002</v>
      </c>
      <c r="I307" s="4">
        <v>0</v>
      </c>
    </row>
    <row r="308" spans="1:9" x14ac:dyDescent="0.2">
      <c r="A308" s="2">
        <v>17</v>
      </c>
      <c r="B308" s="1" t="s">
        <v>196</v>
      </c>
      <c r="C308" s="4">
        <v>46</v>
      </c>
      <c r="D308" s="8">
        <v>1.46</v>
      </c>
      <c r="E308" s="4">
        <v>11</v>
      </c>
      <c r="F308" s="8">
        <v>0.89</v>
      </c>
      <c r="G308" s="4">
        <v>35</v>
      </c>
      <c r="H308" s="8">
        <v>1.84</v>
      </c>
      <c r="I308" s="4">
        <v>0</v>
      </c>
    </row>
    <row r="309" spans="1:9" x14ac:dyDescent="0.2">
      <c r="A309" s="2">
        <v>18</v>
      </c>
      <c r="B309" s="1" t="s">
        <v>198</v>
      </c>
      <c r="C309" s="4">
        <v>39</v>
      </c>
      <c r="D309" s="8">
        <v>1.24</v>
      </c>
      <c r="E309" s="4">
        <v>18</v>
      </c>
      <c r="F309" s="8">
        <v>1.46</v>
      </c>
      <c r="G309" s="4">
        <v>21</v>
      </c>
      <c r="H309" s="8">
        <v>1.1000000000000001</v>
      </c>
      <c r="I309" s="4">
        <v>0</v>
      </c>
    </row>
    <row r="310" spans="1:9" x14ac:dyDescent="0.2">
      <c r="A310" s="2">
        <v>19</v>
      </c>
      <c r="B310" s="1" t="s">
        <v>186</v>
      </c>
      <c r="C310" s="4">
        <v>37</v>
      </c>
      <c r="D310" s="8">
        <v>1.18</v>
      </c>
      <c r="E310" s="4">
        <v>25</v>
      </c>
      <c r="F310" s="8">
        <v>2.02</v>
      </c>
      <c r="G310" s="4">
        <v>12</v>
      </c>
      <c r="H310" s="8">
        <v>0.63</v>
      </c>
      <c r="I310" s="4">
        <v>0</v>
      </c>
    </row>
    <row r="311" spans="1:9" x14ac:dyDescent="0.2">
      <c r="A311" s="2">
        <v>19</v>
      </c>
      <c r="B311" s="1" t="s">
        <v>174</v>
      </c>
      <c r="C311" s="4">
        <v>37</v>
      </c>
      <c r="D311" s="8">
        <v>1.18</v>
      </c>
      <c r="E311" s="4">
        <v>0</v>
      </c>
      <c r="F311" s="8">
        <v>0</v>
      </c>
      <c r="G311" s="4">
        <v>37</v>
      </c>
      <c r="H311" s="8">
        <v>1.94</v>
      </c>
      <c r="I311" s="4">
        <v>0</v>
      </c>
    </row>
    <row r="312" spans="1:9" x14ac:dyDescent="0.2">
      <c r="A312" s="2">
        <v>19</v>
      </c>
      <c r="B312" s="1" t="s">
        <v>192</v>
      </c>
      <c r="C312" s="4">
        <v>37</v>
      </c>
      <c r="D312" s="8">
        <v>1.18</v>
      </c>
      <c r="E312" s="4">
        <v>10</v>
      </c>
      <c r="F312" s="8">
        <v>0.81</v>
      </c>
      <c r="G312" s="4">
        <v>27</v>
      </c>
      <c r="H312" s="8">
        <v>1.42</v>
      </c>
      <c r="I312" s="4">
        <v>0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161</v>
      </c>
      <c r="C315" s="4">
        <v>110</v>
      </c>
      <c r="D315" s="8">
        <v>3.51</v>
      </c>
      <c r="E315" s="4">
        <v>27</v>
      </c>
      <c r="F315" s="8">
        <v>2.4700000000000002</v>
      </c>
      <c r="G315" s="4">
        <v>83</v>
      </c>
      <c r="H315" s="8">
        <v>4.0599999999999996</v>
      </c>
      <c r="I315" s="4">
        <v>0</v>
      </c>
    </row>
    <row r="316" spans="1:9" x14ac:dyDescent="0.2">
      <c r="A316" s="2">
        <v>2</v>
      </c>
      <c r="B316" s="1" t="s">
        <v>168</v>
      </c>
      <c r="C316" s="4">
        <v>100</v>
      </c>
      <c r="D316" s="8">
        <v>3.19</v>
      </c>
      <c r="E316" s="4">
        <v>85</v>
      </c>
      <c r="F316" s="8">
        <v>7.79</v>
      </c>
      <c r="G316" s="4">
        <v>15</v>
      </c>
      <c r="H316" s="8">
        <v>0.73</v>
      </c>
      <c r="I316" s="4">
        <v>0</v>
      </c>
    </row>
    <row r="317" spans="1:9" x14ac:dyDescent="0.2">
      <c r="A317" s="2">
        <v>3</v>
      </c>
      <c r="B317" s="1" t="s">
        <v>165</v>
      </c>
      <c r="C317" s="4">
        <v>86</v>
      </c>
      <c r="D317" s="8">
        <v>2.74</v>
      </c>
      <c r="E317" s="4">
        <v>79</v>
      </c>
      <c r="F317" s="8">
        <v>7.24</v>
      </c>
      <c r="G317" s="4">
        <v>7</v>
      </c>
      <c r="H317" s="8">
        <v>0.34</v>
      </c>
      <c r="I317" s="4">
        <v>0</v>
      </c>
    </row>
    <row r="318" spans="1:9" x14ac:dyDescent="0.2">
      <c r="A318" s="2">
        <v>4</v>
      </c>
      <c r="B318" s="1" t="s">
        <v>154</v>
      </c>
      <c r="C318" s="4">
        <v>81</v>
      </c>
      <c r="D318" s="8">
        <v>2.58</v>
      </c>
      <c r="E318" s="4">
        <v>15</v>
      </c>
      <c r="F318" s="8">
        <v>1.37</v>
      </c>
      <c r="G318" s="4">
        <v>66</v>
      </c>
      <c r="H318" s="8">
        <v>3.23</v>
      </c>
      <c r="I318" s="4">
        <v>0</v>
      </c>
    </row>
    <row r="319" spans="1:9" x14ac:dyDescent="0.2">
      <c r="A319" s="2">
        <v>4</v>
      </c>
      <c r="B319" s="1" t="s">
        <v>170</v>
      </c>
      <c r="C319" s="4">
        <v>81</v>
      </c>
      <c r="D319" s="8">
        <v>2.58</v>
      </c>
      <c r="E319" s="4">
        <v>62</v>
      </c>
      <c r="F319" s="8">
        <v>5.68</v>
      </c>
      <c r="G319" s="4">
        <v>19</v>
      </c>
      <c r="H319" s="8">
        <v>0.93</v>
      </c>
      <c r="I319" s="4">
        <v>0</v>
      </c>
    </row>
    <row r="320" spans="1:9" x14ac:dyDescent="0.2">
      <c r="A320" s="2">
        <v>6</v>
      </c>
      <c r="B320" s="1" t="s">
        <v>156</v>
      </c>
      <c r="C320" s="4">
        <v>76</v>
      </c>
      <c r="D320" s="8">
        <v>2.42</v>
      </c>
      <c r="E320" s="4">
        <v>22</v>
      </c>
      <c r="F320" s="8">
        <v>2.02</v>
      </c>
      <c r="G320" s="4">
        <v>54</v>
      </c>
      <c r="H320" s="8">
        <v>2.64</v>
      </c>
      <c r="I320" s="4">
        <v>0</v>
      </c>
    </row>
    <row r="321" spans="1:9" x14ac:dyDescent="0.2">
      <c r="A321" s="2">
        <v>6</v>
      </c>
      <c r="B321" s="1" t="s">
        <v>171</v>
      </c>
      <c r="C321" s="4">
        <v>76</v>
      </c>
      <c r="D321" s="8">
        <v>2.42</v>
      </c>
      <c r="E321" s="4">
        <v>66</v>
      </c>
      <c r="F321" s="8">
        <v>6.05</v>
      </c>
      <c r="G321" s="4">
        <v>10</v>
      </c>
      <c r="H321" s="8">
        <v>0.49</v>
      </c>
      <c r="I321" s="4">
        <v>0</v>
      </c>
    </row>
    <row r="322" spans="1:9" x14ac:dyDescent="0.2">
      <c r="A322" s="2">
        <v>8</v>
      </c>
      <c r="B322" s="1" t="s">
        <v>167</v>
      </c>
      <c r="C322" s="4">
        <v>73</v>
      </c>
      <c r="D322" s="8">
        <v>2.33</v>
      </c>
      <c r="E322" s="4">
        <v>69</v>
      </c>
      <c r="F322" s="8">
        <v>6.32</v>
      </c>
      <c r="G322" s="4">
        <v>4</v>
      </c>
      <c r="H322" s="8">
        <v>0.2</v>
      </c>
      <c r="I322" s="4">
        <v>0</v>
      </c>
    </row>
    <row r="323" spans="1:9" x14ac:dyDescent="0.2">
      <c r="A323" s="2">
        <v>9</v>
      </c>
      <c r="B323" s="1" t="s">
        <v>155</v>
      </c>
      <c r="C323" s="4">
        <v>68</v>
      </c>
      <c r="D323" s="8">
        <v>2.17</v>
      </c>
      <c r="E323" s="4">
        <v>4</v>
      </c>
      <c r="F323" s="8">
        <v>0.37</v>
      </c>
      <c r="G323" s="4">
        <v>64</v>
      </c>
      <c r="H323" s="8">
        <v>3.13</v>
      </c>
      <c r="I323" s="4">
        <v>0</v>
      </c>
    </row>
    <row r="324" spans="1:9" x14ac:dyDescent="0.2">
      <c r="A324" s="2">
        <v>10</v>
      </c>
      <c r="B324" s="1" t="s">
        <v>169</v>
      </c>
      <c r="C324" s="4">
        <v>60</v>
      </c>
      <c r="D324" s="8">
        <v>1.91</v>
      </c>
      <c r="E324" s="4">
        <v>33</v>
      </c>
      <c r="F324" s="8">
        <v>3.02</v>
      </c>
      <c r="G324" s="4">
        <v>27</v>
      </c>
      <c r="H324" s="8">
        <v>1.32</v>
      </c>
      <c r="I324" s="4">
        <v>0</v>
      </c>
    </row>
    <row r="325" spans="1:9" x14ac:dyDescent="0.2">
      <c r="A325" s="2">
        <v>11</v>
      </c>
      <c r="B325" s="1" t="s">
        <v>160</v>
      </c>
      <c r="C325" s="4">
        <v>58</v>
      </c>
      <c r="D325" s="8">
        <v>1.85</v>
      </c>
      <c r="E325" s="4">
        <v>5</v>
      </c>
      <c r="F325" s="8">
        <v>0.46</v>
      </c>
      <c r="G325" s="4">
        <v>53</v>
      </c>
      <c r="H325" s="8">
        <v>2.6</v>
      </c>
      <c r="I325" s="4">
        <v>0</v>
      </c>
    </row>
    <row r="326" spans="1:9" x14ac:dyDescent="0.2">
      <c r="A326" s="2">
        <v>12</v>
      </c>
      <c r="B326" s="1" t="s">
        <v>188</v>
      </c>
      <c r="C326" s="4">
        <v>57</v>
      </c>
      <c r="D326" s="8">
        <v>1.82</v>
      </c>
      <c r="E326" s="4">
        <v>25</v>
      </c>
      <c r="F326" s="8">
        <v>2.29</v>
      </c>
      <c r="G326" s="4">
        <v>32</v>
      </c>
      <c r="H326" s="8">
        <v>1.57</v>
      </c>
      <c r="I326" s="4">
        <v>0</v>
      </c>
    </row>
    <row r="327" spans="1:9" x14ac:dyDescent="0.2">
      <c r="A327" s="2">
        <v>13</v>
      </c>
      <c r="B327" s="1" t="s">
        <v>164</v>
      </c>
      <c r="C327" s="4">
        <v>53</v>
      </c>
      <c r="D327" s="8">
        <v>1.69</v>
      </c>
      <c r="E327" s="4">
        <v>51</v>
      </c>
      <c r="F327" s="8">
        <v>4.67</v>
      </c>
      <c r="G327" s="4">
        <v>2</v>
      </c>
      <c r="H327" s="8">
        <v>0.1</v>
      </c>
      <c r="I327" s="4">
        <v>0</v>
      </c>
    </row>
    <row r="328" spans="1:9" x14ac:dyDescent="0.2">
      <c r="A328" s="2">
        <v>14</v>
      </c>
      <c r="B328" s="1" t="s">
        <v>200</v>
      </c>
      <c r="C328" s="4">
        <v>52</v>
      </c>
      <c r="D328" s="8">
        <v>1.66</v>
      </c>
      <c r="E328" s="4">
        <v>7</v>
      </c>
      <c r="F328" s="8">
        <v>0.64</v>
      </c>
      <c r="G328" s="4">
        <v>45</v>
      </c>
      <c r="H328" s="8">
        <v>2.2000000000000002</v>
      </c>
      <c r="I328" s="4">
        <v>0</v>
      </c>
    </row>
    <row r="329" spans="1:9" x14ac:dyDescent="0.2">
      <c r="A329" s="2">
        <v>15</v>
      </c>
      <c r="B329" s="1" t="s">
        <v>153</v>
      </c>
      <c r="C329" s="4">
        <v>51</v>
      </c>
      <c r="D329" s="8">
        <v>1.63</v>
      </c>
      <c r="E329" s="4">
        <v>7</v>
      </c>
      <c r="F329" s="8">
        <v>0.64</v>
      </c>
      <c r="G329" s="4">
        <v>44</v>
      </c>
      <c r="H329" s="8">
        <v>2.15</v>
      </c>
      <c r="I329" s="4">
        <v>0</v>
      </c>
    </row>
    <row r="330" spans="1:9" x14ac:dyDescent="0.2">
      <c r="A330" s="2">
        <v>16</v>
      </c>
      <c r="B330" s="1" t="s">
        <v>152</v>
      </c>
      <c r="C330" s="4">
        <v>49</v>
      </c>
      <c r="D330" s="8">
        <v>1.56</v>
      </c>
      <c r="E330" s="4">
        <v>2</v>
      </c>
      <c r="F330" s="8">
        <v>0.18</v>
      </c>
      <c r="G330" s="4">
        <v>47</v>
      </c>
      <c r="H330" s="8">
        <v>2.2999999999999998</v>
      </c>
      <c r="I330" s="4">
        <v>0</v>
      </c>
    </row>
    <row r="331" spans="1:9" x14ac:dyDescent="0.2">
      <c r="A331" s="2">
        <v>17</v>
      </c>
      <c r="B331" s="1" t="s">
        <v>166</v>
      </c>
      <c r="C331" s="4">
        <v>47</v>
      </c>
      <c r="D331" s="8">
        <v>1.5</v>
      </c>
      <c r="E331" s="4">
        <v>18</v>
      </c>
      <c r="F331" s="8">
        <v>1.65</v>
      </c>
      <c r="G331" s="4">
        <v>29</v>
      </c>
      <c r="H331" s="8">
        <v>1.42</v>
      </c>
      <c r="I331" s="4">
        <v>0</v>
      </c>
    </row>
    <row r="332" spans="1:9" x14ac:dyDescent="0.2">
      <c r="A332" s="2">
        <v>18</v>
      </c>
      <c r="B332" s="1" t="s">
        <v>174</v>
      </c>
      <c r="C332" s="4">
        <v>46</v>
      </c>
      <c r="D332" s="8">
        <v>1.47</v>
      </c>
      <c r="E332" s="4">
        <v>0</v>
      </c>
      <c r="F332" s="8">
        <v>0</v>
      </c>
      <c r="G332" s="4">
        <v>45</v>
      </c>
      <c r="H332" s="8">
        <v>2.2000000000000002</v>
      </c>
      <c r="I332" s="4">
        <v>0</v>
      </c>
    </row>
    <row r="333" spans="1:9" x14ac:dyDescent="0.2">
      <c r="A333" s="2">
        <v>19</v>
      </c>
      <c r="B333" s="1" t="s">
        <v>163</v>
      </c>
      <c r="C333" s="4">
        <v>45</v>
      </c>
      <c r="D333" s="8">
        <v>1.43</v>
      </c>
      <c r="E333" s="4">
        <v>38</v>
      </c>
      <c r="F333" s="8">
        <v>3.48</v>
      </c>
      <c r="G333" s="4">
        <v>7</v>
      </c>
      <c r="H333" s="8">
        <v>0.34</v>
      </c>
      <c r="I333" s="4">
        <v>0</v>
      </c>
    </row>
    <row r="334" spans="1:9" x14ac:dyDescent="0.2">
      <c r="A334" s="2">
        <v>20</v>
      </c>
      <c r="B334" s="1" t="s">
        <v>203</v>
      </c>
      <c r="C334" s="4">
        <v>40</v>
      </c>
      <c r="D334" s="8">
        <v>1.28</v>
      </c>
      <c r="E334" s="4">
        <v>8</v>
      </c>
      <c r="F334" s="8">
        <v>0.73</v>
      </c>
      <c r="G334" s="4">
        <v>32</v>
      </c>
      <c r="H334" s="8">
        <v>1.57</v>
      </c>
      <c r="I334" s="4">
        <v>0</v>
      </c>
    </row>
    <row r="335" spans="1:9" x14ac:dyDescent="0.2">
      <c r="A335" s="2">
        <v>20</v>
      </c>
      <c r="B335" s="1" t="s">
        <v>184</v>
      </c>
      <c r="C335" s="4">
        <v>40</v>
      </c>
      <c r="D335" s="8">
        <v>1.28</v>
      </c>
      <c r="E335" s="4">
        <v>9</v>
      </c>
      <c r="F335" s="8">
        <v>0.82</v>
      </c>
      <c r="G335" s="4">
        <v>31</v>
      </c>
      <c r="H335" s="8">
        <v>1.52</v>
      </c>
      <c r="I335" s="4">
        <v>0</v>
      </c>
    </row>
    <row r="336" spans="1:9" x14ac:dyDescent="0.2">
      <c r="A336" s="2">
        <v>20</v>
      </c>
      <c r="B336" s="1" t="s">
        <v>173</v>
      </c>
      <c r="C336" s="4">
        <v>40</v>
      </c>
      <c r="D336" s="8">
        <v>1.28</v>
      </c>
      <c r="E336" s="4">
        <v>5</v>
      </c>
      <c r="F336" s="8">
        <v>0.46</v>
      </c>
      <c r="G336" s="4">
        <v>35</v>
      </c>
      <c r="H336" s="8">
        <v>1.71</v>
      </c>
      <c r="I336" s="4">
        <v>0</v>
      </c>
    </row>
    <row r="337" spans="1:9" x14ac:dyDescent="0.2">
      <c r="A337" s="2">
        <v>20</v>
      </c>
      <c r="B337" s="1" t="s">
        <v>157</v>
      </c>
      <c r="C337" s="4">
        <v>40</v>
      </c>
      <c r="D337" s="8">
        <v>1.28</v>
      </c>
      <c r="E337" s="4">
        <v>10</v>
      </c>
      <c r="F337" s="8">
        <v>0.92</v>
      </c>
      <c r="G337" s="4">
        <v>30</v>
      </c>
      <c r="H337" s="8">
        <v>1.47</v>
      </c>
      <c r="I337" s="4">
        <v>0</v>
      </c>
    </row>
    <row r="338" spans="1:9" x14ac:dyDescent="0.2">
      <c r="A338" s="1"/>
      <c r="C338" s="4"/>
      <c r="D338" s="8"/>
      <c r="E338" s="4"/>
      <c r="F338" s="8"/>
      <c r="G338" s="4"/>
      <c r="H338" s="8"/>
      <c r="I338" s="4"/>
    </row>
    <row r="339" spans="1:9" x14ac:dyDescent="0.2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2">
      <c r="A340" s="2">
        <v>1</v>
      </c>
      <c r="B340" s="1" t="s">
        <v>168</v>
      </c>
      <c r="C340" s="4">
        <v>167</v>
      </c>
      <c r="D340" s="8">
        <v>4.41</v>
      </c>
      <c r="E340" s="4">
        <v>132</v>
      </c>
      <c r="F340" s="8">
        <v>9.1</v>
      </c>
      <c r="G340" s="4">
        <v>35</v>
      </c>
      <c r="H340" s="8">
        <v>1.5</v>
      </c>
      <c r="I340" s="4">
        <v>0</v>
      </c>
    </row>
    <row r="341" spans="1:9" x14ac:dyDescent="0.2">
      <c r="A341" s="2">
        <v>2</v>
      </c>
      <c r="B341" s="1" t="s">
        <v>170</v>
      </c>
      <c r="C341" s="4">
        <v>139</v>
      </c>
      <c r="D341" s="8">
        <v>3.67</v>
      </c>
      <c r="E341" s="4">
        <v>106</v>
      </c>
      <c r="F341" s="8">
        <v>7.31</v>
      </c>
      <c r="G341" s="4">
        <v>33</v>
      </c>
      <c r="H341" s="8">
        <v>1.42</v>
      </c>
      <c r="I341" s="4">
        <v>0</v>
      </c>
    </row>
    <row r="342" spans="1:9" x14ac:dyDescent="0.2">
      <c r="A342" s="2">
        <v>3</v>
      </c>
      <c r="B342" s="1" t="s">
        <v>161</v>
      </c>
      <c r="C342" s="4">
        <v>108</v>
      </c>
      <c r="D342" s="8">
        <v>2.85</v>
      </c>
      <c r="E342" s="4">
        <v>16</v>
      </c>
      <c r="F342" s="8">
        <v>1.1000000000000001</v>
      </c>
      <c r="G342" s="4">
        <v>92</v>
      </c>
      <c r="H342" s="8">
        <v>3.95</v>
      </c>
      <c r="I342" s="4">
        <v>0</v>
      </c>
    </row>
    <row r="343" spans="1:9" x14ac:dyDescent="0.2">
      <c r="A343" s="2">
        <v>4</v>
      </c>
      <c r="B343" s="1" t="s">
        <v>171</v>
      </c>
      <c r="C343" s="4">
        <v>105</v>
      </c>
      <c r="D343" s="8">
        <v>2.77</v>
      </c>
      <c r="E343" s="4">
        <v>94</v>
      </c>
      <c r="F343" s="8">
        <v>6.48</v>
      </c>
      <c r="G343" s="4">
        <v>11</v>
      </c>
      <c r="H343" s="8">
        <v>0.47</v>
      </c>
      <c r="I343" s="4">
        <v>0</v>
      </c>
    </row>
    <row r="344" spans="1:9" x14ac:dyDescent="0.2">
      <c r="A344" s="2">
        <v>5</v>
      </c>
      <c r="B344" s="1" t="s">
        <v>167</v>
      </c>
      <c r="C344" s="4">
        <v>104</v>
      </c>
      <c r="D344" s="8">
        <v>2.75</v>
      </c>
      <c r="E344" s="4">
        <v>93</v>
      </c>
      <c r="F344" s="8">
        <v>6.41</v>
      </c>
      <c r="G344" s="4">
        <v>11</v>
      </c>
      <c r="H344" s="8">
        <v>0.47</v>
      </c>
      <c r="I344" s="4">
        <v>0</v>
      </c>
    </row>
    <row r="345" spans="1:9" x14ac:dyDescent="0.2">
      <c r="A345" s="2">
        <v>6</v>
      </c>
      <c r="B345" s="1" t="s">
        <v>155</v>
      </c>
      <c r="C345" s="4">
        <v>87</v>
      </c>
      <c r="D345" s="8">
        <v>2.2999999999999998</v>
      </c>
      <c r="E345" s="4">
        <v>9</v>
      </c>
      <c r="F345" s="8">
        <v>0.62</v>
      </c>
      <c r="G345" s="4">
        <v>78</v>
      </c>
      <c r="H345" s="8">
        <v>3.35</v>
      </c>
      <c r="I345" s="4">
        <v>0</v>
      </c>
    </row>
    <row r="346" spans="1:9" x14ac:dyDescent="0.2">
      <c r="A346" s="2">
        <v>7</v>
      </c>
      <c r="B346" s="1" t="s">
        <v>165</v>
      </c>
      <c r="C346" s="4">
        <v>84</v>
      </c>
      <c r="D346" s="8">
        <v>2.2200000000000002</v>
      </c>
      <c r="E346" s="4">
        <v>79</v>
      </c>
      <c r="F346" s="8">
        <v>5.45</v>
      </c>
      <c r="G346" s="4">
        <v>5</v>
      </c>
      <c r="H346" s="8">
        <v>0.21</v>
      </c>
      <c r="I346" s="4">
        <v>0</v>
      </c>
    </row>
    <row r="347" spans="1:9" x14ac:dyDescent="0.2">
      <c r="A347" s="2">
        <v>8</v>
      </c>
      <c r="B347" s="1" t="s">
        <v>169</v>
      </c>
      <c r="C347" s="4">
        <v>80</v>
      </c>
      <c r="D347" s="8">
        <v>2.11</v>
      </c>
      <c r="E347" s="4">
        <v>53</v>
      </c>
      <c r="F347" s="8">
        <v>3.66</v>
      </c>
      <c r="G347" s="4">
        <v>27</v>
      </c>
      <c r="H347" s="8">
        <v>1.1599999999999999</v>
      </c>
      <c r="I347" s="4">
        <v>0</v>
      </c>
    </row>
    <row r="348" spans="1:9" x14ac:dyDescent="0.2">
      <c r="A348" s="2">
        <v>9</v>
      </c>
      <c r="B348" s="1" t="s">
        <v>154</v>
      </c>
      <c r="C348" s="4">
        <v>68</v>
      </c>
      <c r="D348" s="8">
        <v>1.8</v>
      </c>
      <c r="E348" s="4">
        <v>6</v>
      </c>
      <c r="F348" s="8">
        <v>0.41</v>
      </c>
      <c r="G348" s="4">
        <v>62</v>
      </c>
      <c r="H348" s="8">
        <v>2.66</v>
      </c>
      <c r="I348" s="4">
        <v>0</v>
      </c>
    </row>
    <row r="349" spans="1:9" x14ac:dyDescent="0.2">
      <c r="A349" s="2">
        <v>10</v>
      </c>
      <c r="B349" s="1" t="s">
        <v>156</v>
      </c>
      <c r="C349" s="4">
        <v>67</v>
      </c>
      <c r="D349" s="8">
        <v>1.77</v>
      </c>
      <c r="E349" s="4">
        <v>25</v>
      </c>
      <c r="F349" s="8">
        <v>1.72</v>
      </c>
      <c r="G349" s="4">
        <v>42</v>
      </c>
      <c r="H349" s="8">
        <v>1.8</v>
      </c>
      <c r="I349" s="4">
        <v>0</v>
      </c>
    </row>
    <row r="350" spans="1:9" x14ac:dyDescent="0.2">
      <c r="A350" s="2">
        <v>11</v>
      </c>
      <c r="B350" s="1" t="s">
        <v>163</v>
      </c>
      <c r="C350" s="4">
        <v>64</v>
      </c>
      <c r="D350" s="8">
        <v>1.69</v>
      </c>
      <c r="E350" s="4">
        <v>47</v>
      </c>
      <c r="F350" s="8">
        <v>3.24</v>
      </c>
      <c r="G350" s="4">
        <v>17</v>
      </c>
      <c r="H350" s="8">
        <v>0.73</v>
      </c>
      <c r="I350" s="4">
        <v>0</v>
      </c>
    </row>
    <row r="351" spans="1:9" x14ac:dyDescent="0.2">
      <c r="A351" s="2">
        <v>12</v>
      </c>
      <c r="B351" s="1" t="s">
        <v>192</v>
      </c>
      <c r="C351" s="4">
        <v>63</v>
      </c>
      <c r="D351" s="8">
        <v>1.66</v>
      </c>
      <c r="E351" s="4">
        <v>19</v>
      </c>
      <c r="F351" s="8">
        <v>1.31</v>
      </c>
      <c r="G351" s="4">
        <v>44</v>
      </c>
      <c r="H351" s="8">
        <v>1.89</v>
      </c>
      <c r="I351" s="4">
        <v>0</v>
      </c>
    </row>
    <row r="352" spans="1:9" x14ac:dyDescent="0.2">
      <c r="A352" s="2">
        <v>13</v>
      </c>
      <c r="B352" s="1" t="s">
        <v>201</v>
      </c>
      <c r="C352" s="4">
        <v>57</v>
      </c>
      <c r="D352" s="8">
        <v>1.51</v>
      </c>
      <c r="E352" s="4">
        <v>10</v>
      </c>
      <c r="F352" s="8">
        <v>0.69</v>
      </c>
      <c r="G352" s="4">
        <v>47</v>
      </c>
      <c r="H352" s="8">
        <v>2.02</v>
      </c>
      <c r="I352" s="4">
        <v>0</v>
      </c>
    </row>
    <row r="353" spans="1:9" x14ac:dyDescent="0.2">
      <c r="A353" s="2">
        <v>14</v>
      </c>
      <c r="B353" s="1" t="s">
        <v>152</v>
      </c>
      <c r="C353" s="4">
        <v>55</v>
      </c>
      <c r="D353" s="8">
        <v>1.45</v>
      </c>
      <c r="E353" s="4">
        <v>6</v>
      </c>
      <c r="F353" s="8">
        <v>0.41</v>
      </c>
      <c r="G353" s="4">
        <v>49</v>
      </c>
      <c r="H353" s="8">
        <v>2.1</v>
      </c>
      <c r="I353" s="4">
        <v>0</v>
      </c>
    </row>
    <row r="354" spans="1:9" x14ac:dyDescent="0.2">
      <c r="A354" s="2">
        <v>15</v>
      </c>
      <c r="B354" s="1" t="s">
        <v>203</v>
      </c>
      <c r="C354" s="4">
        <v>54</v>
      </c>
      <c r="D354" s="8">
        <v>1.43</v>
      </c>
      <c r="E354" s="4">
        <v>4</v>
      </c>
      <c r="F354" s="8">
        <v>0.28000000000000003</v>
      </c>
      <c r="G354" s="4">
        <v>50</v>
      </c>
      <c r="H354" s="8">
        <v>2.15</v>
      </c>
      <c r="I354" s="4">
        <v>0</v>
      </c>
    </row>
    <row r="355" spans="1:9" x14ac:dyDescent="0.2">
      <c r="A355" s="2">
        <v>16</v>
      </c>
      <c r="B355" s="1" t="s">
        <v>197</v>
      </c>
      <c r="C355" s="4">
        <v>53</v>
      </c>
      <c r="D355" s="8">
        <v>1.4</v>
      </c>
      <c r="E355" s="4">
        <v>13</v>
      </c>
      <c r="F355" s="8">
        <v>0.9</v>
      </c>
      <c r="G355" s="4">
        <v>40</v>
      </c>
      <c r="H355" s="8">
        <v>1.72</v>
      </c>
      <c r="I355" s="4">
        <v>0</v>
      </c>
    </row>
    <row r="356" spans="1:9" x14ac:dyDescent="0.2">
      <c r="A356" s="2">
        <v>17</v>
      </c>
      <c r="B356" s="1" t="s">
        <v>204</v>
      </c>
      <c r="C356" s="4">
        <v>51</v>
      </c>
      <c r="D356" s="8">
        <v>1.35</v>
      </c>
      <c r="E356" s="4">
        <v>8</v>
      </c>
      <c r="F356" s="8">
        <v>0.55000000000000004</v>
      </c>
      <c r="G356" s="4">
        <v>43</v>
      </c>
      <c r="H356" s="8">
        <v>1.84</v>
      </c>
      <c r="I356" s="4">
        <v>0</v>
      </c>
    </row>
    <row r="357" spans="1:9" x14ac:dyDescent="0.2">
      <c r="A357" s="2">
        <v>17</v>
      </c>
      <c r="B357" s="1" t="s">
        <v>196</v>
      </c>
      <c r="C357" s="4">
        <v>51</v>
      </c>
      <c r="D357" s="8">
        <v>1.35</v>
      </c>
      <c r="E357" s="4">
        <v>14</v>
      </c>
      <c r="F357" s="8">
        <v>0.97</v>
      </c>
      <c r="G357" s="4">
        <v>37</v>
      </c>
      <c r="H357" s="8">
        <v>1.59</v>
      </c>
      <c r="I357" s="4">
        <v>0</v>
      </c>
    </row>
    <row r="358" spans="1:9" x14ac:dyDescent="0.2">
      <c r="A358" s="2">
        <v>17</v>
      </c>
      <c r="B358" s="1" t="s">
        <v>159</v>
      </c>
      <c r="C358" s="4">
        <v>51</v>
      </c>
      <c r="D358" s="8">
        <v>1.35</v>
      </c>
      <c r="E358" s="4">
        <v>12</v>
      </c>
      <c r="F358" s="8">
        <v>0.83</v>
      </c>
      <c r="G358" s="4">
        <v>39</v>
      </c>
      <c r="H358" s="8">
        <v>1.67</v>
      </c>
      <c r="I358" s="4">
        <v>0</v>
      </c>
    </row>
    <row r="359" spans="1:9" x14ac:dyDescent="0.2">
      <c r="A359" s="2">
        <v>17</v>
      </c>
      <c r="B359" s="1" t="s">
        <v>160</v>
      </c>
      <c r="C359" s="4">
        <v>51</v>
      </c>
      <c r="D359" s="8">
        <v>1.35</v>
      </c>
      <c r="E359" s="4">
        <v>5</v>
      </c>
      <c r="F359" s="8">
        <v>0.34</v>
      </c>
      <c r="G359" s="4">
        <v>46</v>
      </c>
      <c r="H359" s="8">
        <v>1.97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161</v>
      </c>
      <c r="C362" s="4">
        <v>245</v>
      </c>
      <c r="D362" s="8">
        <v>7.36</v>
      </c>
      <c r="E362" s="4">
        <v>28</v>
      </c>
      <c r="F362" s="8">
        <v>2.31</v>
      </c>
      <c r="G362" s="4">
        <v>217</v>
      </c>
      <c r="H362" s="8">
        <v>10.26</v>
      </c>
      <c r="I362" s="4">
        <v>0</v>
      </c>
    </row>
    <row r="363" spans="1:9" x14ac:dyDescent="0.2">
      <c r="A363" s="2">
        <v>2</v>
      </c>
      <c r="B363" s="1" t="s">
        <v>168</v>
      </c>
      <c r="C363" s="4">
        <v>169</v>
      </c>
      <c r="D363" s="8">
        <v>5.08</v>
      </c>
      <c r="E363" s="4">
        <v>137</v>
      </c>
      <c r="F363" s="8">
        <v>11.32</v>
      </c>
      <c r="G363" s="4">
        <v>32</v>
      </c>
      <c r="H363" s="8">
        <v>1.51</v>
      </c>
      <c r="I363" s="4">
        <v>0</v>
      </c>
    </row>
    <row r="364" spans="1:9" x14ac:dyDescent="0.2">
      <c r="A364" s="2">
        <v>3</v>
      </c>
      <c r="B364" s="1" t="s">
        <v>170</v>
      </c>
      <c r="C364" s="4">
        <v>125</v>
      </c>
      <c r="D364" s="8">
        <v>3.76</v>
      </c>
      <c r="E364" s="4">
        <v>95</v>
      </c>
      <c r="F364" s="8">
        <v>7.85</v>
      </c>
      <c r="G364" s="4">
        <v>29</v>
      </c>
      <c r="H364" s="8">
        <v>1.37</v>
      </c>
      <c r="I364" s="4">
        <v>1</v>
      </c>
    </row>
    <row r="365" spans="1:9" x14ac:dyDescent="0.2">
      <c r="A365" s="2">
        <v>4</v>
      </c>
      <c r="B365" s="1" t="s">
        <v>163</v>
      </c>
      <c r="C365" s="4">
        <v>104</v>
      </c>
      <c r="D365" s="8">
        <v>3.13</v>
      </c>
      <c r="E365" s="4">
        <v>78</v>
      </c>
      <c r="F365" s="8">
        <v>6.45</v>
      </c>
      <c r="G365" s="4">
        <v>26</v>
      </c>
      <c r="H365" s="8">
        <v>1.23</v>
      </c>
      <c r="I365" s="4">
        <v>0</v>
      </c>
    </row>
    <row r="366" spans="1:9" x14ac:dyDescent="0.2">
      <c r="A366" s="2">
        <v>4</v>
      </c>
      <c r="B366" s="1" t="s">
        <v>171</v>
      </c>
      <c r="C366" s="4">
        <v>104</v>
      </c>
      <c r="D366" s="8">
        <v>3.13</v>
      </c>
      <c r="E366" s="4">
        <v>85</v>
      </c>
      <c r="F366" s="8">
        <v>7.02</v>
      </c>
      <c r="G366" s="4">
        <v>19</v>
      </c>
      <c r="H366" s="8">
        <v>0.9</v>
      </c>
      <c r="I366" s="4">
        <v>0</v>
      </c>
    </row>
    <row r="367" spans="1:9" x14ac:dyDescent="0.2">
      <c r="A367" s="2">
        <v>6</v>
      </c>
      <c r="B367" s="1" t="s">
        <v>160</v>
      </c>
      <c r="C367" s="4">
        <v>87</v>
      </c>
      <c r="D367" s="8">
        <v>2.61</v>
      </c>
      <c r="E367" s="4">
        <v>6</v>
      </c>
      <c r="F367" s="8">
        <v>0.5</v>
      </c>
      <c r="G367" s="4">
        <v>81</v>
      </c>
      <c r="H367" s="8">
        <v>3.83</v>
      </c>
      <c r="I367" s="4">
        <v>0</v>
      </c>
    </row>
    <row r="368" spans="1:9" x14ac:dyDescent="0.2">
      <c r="A368" s="2">
        <v>7</v>
      </c>
      <c r="B368" s="1" t="s">
        <v>167</v>
      </c>
      <c r="C368" s="4">
        <v>81</v>
      </c>
      <c r="D368" s="8">
        <v>2.4300000000000002</v>
      </c>
      <c r="E368" s="4">
        <v>74</v>
      </c>
      <c r="F368" s="8">
        <v>6.12</v>
      </c>
      <c r="G368" s="4">
        <v>7</v>
      </c>
      <c r="H368" s="8">
        <v>0.33</v>
      </c>
      <c r="I368" s="4">
        <v>0</v>
      </c>
    </row>
    <row r="369" spans="1:9" x14ac:dyDescent="0.2">
      <c r="A369" s="2">
        <v>8</v>
      </c>
      <c r="B369" s="1" t="s">
        <v>165</v>
      </c>
      <c r="C369" s="4">
        <v>74</v>
      </c>
      <c r="D369" s="8">
        <v>2.2200000000000002</v>
      </c>
      <c r="E369" s="4">
        <v>65</v>
      </c>
      <c r="F369" s="8">
        <v>5.37</v>
      </c>
      <c r="G369" s="4">
        <v>9</v>
      </c>
      <c r="H369" s="8">
        <v>0.43</v>
      </c>
      <c r="I369" s="4">
        <v>0</v>
      </c>
    </row>
    <row r="370" spans="1:9" x14ac:dyDescent="0.2">
      <c r="A370" s="2">
        <v>9</v>
      </c>
      <c r="B370" s="1" t="s">
        <v>164</v>
      </c>
      <c r="C370" s="4">
        <v>73</v>
      </c>
      <c r="D370" s="8">
        <v>2.19</v>
      </c>
      <c r="E370" s="4">
        <v>64</v>
      </c>
      <c r="F370" s="8">
        <v>5.29</v>
      </c>
      <c r="G370" s="4">
        <v>9</v>
      </c>
      <c r="H370" s="8">
        <v>0.43</v>
      </c>
      <c r="I370" s="4">
        <v>0</v>
      </c>
    </row>
    <row r="371" spans="1:9" x14ac:dyDescent="0.2">
      <c r="A371" s="2">
        <v>10</v>
      </c>
      <c r="B371" s="1" t="s">
        <v>159</v>
      </c>
      <c r="C371" s="4">
        <v>68</v>
      </c>
      <c r="D371" s="8">
        <v>2.04</v>
      </c>
      <c r="E371" s="4">
        <v>7</v>
      </c>
      <c r="F371" s="8">
        <v>0.57999999999999996</v>
      </c>
      <c r="G371" s="4">
        <v>61</v>
      </c>
      <c r="H371" s="8">
        <v>2.88</v>
      </c>
      <c r="I371" s="4">
        <v>0</v>
      </c>
    </row>
    <row r="372" spans="1:9" x14ac:dyDescent="0.2">
      <c r="A372" s="2">
        <v>10</v>
      </c>
      <c r="B372" s="1" t="s">
        <v>174</v>
      </c>
      <c r="C372" s="4">
        <v>68</v>
      </c>
      <c r="D372" s="8">
        <v>2.04</v>
      </c>
      <c r="E372" s="4">
        <v>0</v>
      </c>
      <c r="F372" s="8">
        <v>0</v>
      </c>
      <c r="G372" s="4">
        <v>66</v>
      </c>
      <c r="H372" s="8">
        <v>3.12</v>
      </c>
      <c r="I372" s="4">
        <v>2</v>
      </c>
    </row>
    <row r="373" spans="1:9" x14ac:dyDescent="0.2">
      <c r="A373" s="2">
        <v>12</v>
      </c>
      <c r="B373" s="1" t="s">
        <v>172</v>
      </c>
      <c r="C373" s="4">
        <v>63</v>
      </c>
      <c r="D373" s="8">
        <v>1.89</v>
      </c>
      <c r="E373" s="4">
        <v>3</v>
      </c>
      <c r="F373" s="8">
        <v>0.25</v>
      </c>
      <c r="G373" s="4">
        <v>60</v>
      </c>
      <c r="H373" s="8">
        <v>2.84</v>
      </c>
      <c r="I373" s="4">
        <v>0</v>
      </c>
    </row>
    <row r="374" spans="1:9" x14ac:dyDescent="0.2">
      <c r="A374" s="2">
        <v>13</v>
      </c>
      <c r="B374" s="1" t="s">
        <v>162</v>
      </c>
      <c r="C374" s="4">
        <v>61</v>
      </c>
      <c r="D374" s="8">
        <v>1.83</v>
      </c>
      <c r="E374" s="4">
        <v>13</v>
      </c>
      <c r="F374" s="8">
        <v>1.07</v>
      </c>
      <c r="G374" s="4">
        <v>48</v>
      </c>
      <c r="H374" s="8">
        <v>2.27</v>
      </c>
      <c r="I374" s="4">
        <v>0</v>
      </c>
    </row>
    <row r="375" spans="1:9" x14ac:dyDescent="0.2">
      <c r="A375" s="2">
        <v>14</v>
      </c>
      <c r="B375" s="1" t="s">
        <v>169</v>
      </c>
      <c r="C375" s="4">
        <v>60</v>
      </c>
      <c r="D375" s="8">
        <v>1.8</v>
      </c>
      <c r="E375" s="4">
        <v>25</v>
      </c>
      <c r="F375" s="8">
        <v>2.0699999999999998</v>
      </c>
      <c r="G375" s="4">
        <v>35</v>
      </c>
      <c r="H375" s="8">
        <v>1.65</v>
      </c>
      <c r="I375" s="4">
        <v>0</v>
      </c>
    </row>
    <row r="376" spans="1:9" x14ac:dyDescent="0.2">
      <c r="A376" s="2">
        <v>15</v>
      </c>
      <c r="B376" s="1" t="s">
        <v>175</v>
      </c>
      <c r="C376" s="4">
        <v>54</v>
      </c>
      <c r="D376" s="8">
        <v>1.62</v>
      </c>
      <c r="E376" s="4">
        <v>53</v>
      </c>
      <c r="F376" s="8">
        <v>4.38</v>
      </c>
      <c r="G376" s="4">
        <v>1</v>
      </c>
      <c r="H376" s="8">
        <v>0.05</v>
      </c>
      <c r="I376" s="4">
        <v>0</v>
      </c>
    </row>
    <row r="377" spans="1:9" x14ac:dyDescent="0.2">
      <c r="A377" s="2">
        <v>16</v>
      </c>
      <c r="B377" s="1" t="s">
        <v>166</v>
      </c>
      <c r="C377" s="4">
        <v>52</v>
      </c>
      <c r="D377" s="8">
        <v>1.56</v>
      </c>
      <c r="E377" s="4">
        <v>16</v>
      </c>
      <c r="F377" s="8">
        <v>1.32</v>
      </c>
      <c r="G377" s="4">
        <v>36</v>
      </c>
      <c r="H377" s="8">
        <v>1.7</v>
      </c>
      <c r="I377" s="4">
        <v>0</v>
      </c>
    </row>
    <row r="378" spans="1:9" x14ac:dyDescent="0.2">
      <c r="A378" s="2">
        <v>17</v>
      </c>
      <c r="B378" s="1" t="s">
        <v>158</v>
      </c>
      <c r="C378" s="4">
        <v>50</v>
      </c>
      <c r="D378" s="8">
        <v>1.5</v>
      </c>
      <c r="E378" s="4">
        <v>27</v>
      </c>
      <c r="F378" s="8">
        <v>2.23</v>
      </c>
      <c r="G378" s="4">
        <v>23</v>
      </c>
      <c r="H378" s="8">
        <v>1.0900000000000001</v>
      </c>
      <c r="I378" s="4">
        <v>0</v>
      </c>
    </row>
    <row r="379" spans="1:9" x14ac:dyDescent="0.2">
      <c r="A379" s="2">
        <v>18</v>
      </c>
      <c r="B379" s="1" t="s">
        <v>153</v>
      </c>
      <c r="C379" s="4">
        <v>47</v>
      </c>
      <c r="D379" s="8">
        <v>1.41</v>
      </c>
      <c r="E379" s="4">
        <v>1</v>
      </c>
      <c r="F379" s="8">
        <v>0.08</v>
      </c>
      <c r="G379" s="4">
        <v>46</v>
      </c>
      <c r="H379" s="8">
        <v>2.17</v>
      </c>
      <c r="I379" s="4">
        <v>0</v>
      </c>
    </row>
    <row r="380" spans="1:9" x14ac:dyDescent="0.2">
      <c r="A380" s="2">
        <v>19</v>
      </c>
      <c r="B380" s="1" t="s">
        <v>184</v>
      </c>
      <c r="C380" s="4">
        <v>45</v>
      </c>
      <c r="D380" s="8">
        <v>1.35</v>
      </c>
      <c r="E380" s="4">
        <v>8</v>
      </c>
      <c r="F380" s="8">
        <v>0.66</v>
      </c>
      <c r="G380" s="4">
        <v>37</v>
      </c>
      <c r="H380" s="8">
        <v>1.75</v>
      </c>
      <c r="I380" s="4">
        <v>0</v>
      </c>
    </row>
    <row r="381" spans="1:9" x14ac:dyDescent="0.2">
      <c r="A381" s="2">
        <v>20</v>
      </c>
      <c r="B381" s="1" t="s">
        <v>178</v>
      </c>
      <c r="C381" s="4">
        <v>42</v>
      </c>
      <c r="D381" s="8">
        <v>1.26</v>
      </c>
      <c r="E381" s="4">
        <v>1</v>
      </c>
      <c r="F381" s="8">
        <v>0.08</v>
      </c>
      <c r="G381" s="4">
        <v>41</v>
      </c>
      <c r="H381" s="8">
        <v>1.94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161</v>
      </c>
      <c r="C384" s="4">
        <v>171</v>
      </c>
      <c r="D384" s="8">
        <v>5.41</v>
      </c>
      <c r="E384" s="4">
        <v>17</v>
      </c>
      <c r="F384" s="8">
        <v>1.45</v>
      </c>
      <c r="G384" s="4">
        <v>154</v>
      </c>
      <c r="H384" s="8">
        <v>7.75</v>
      </c>
      <c r="I384" s="4">
        <v>0</v>
      </c>
    </row>
    <row r="385" spans="1:9" x14ac:dyDescent="0.2">
      <c r="A385" s="2">
        <v>2</v>
      </c>
      <c r="B385" s="1" t="s">
        <v>168</v>
      </c>
      <c r="C385" s="4">
        <v>152</v>
      </c>
      <c r="D385" s="8">
        <v>4.8099999999999996</v>
      </c>
      <c r="E385" s="4">
        <v>123</v>
      </c>
      <c r="F385" s="8">
        <v>10.51</v>
      </c>
      <c r="G385" s="4">
        <v>29</v>
      </c>
      <c r="H385" s="8">
        <v>1.46</v>
      </c>
      <c r="I385" s="4">
        <v>0</v>
      </c>
    </row>
    <row r="386" spans="1:9" x14ac:dyDescent="0.2">
      <c r="A386" s="2">
        <v>3</v>
      </c>
      <c r="B386" s="1" t="s">
        <v>171</v>
      </c>
      <c r="C386" s="4">
        <v>92</v>
      </c>
      <c r="D386" s="8">
        <v>2.91</v>
      </c>
      <c r="E386" s="4">
        <v>78</v>
      </c>
      <c r="F386" s="8">
        <v>6.67</v>
      </c>
      <c r="G386" s="4">
        <v>14</v>
      </c>
      <c r="H386" s="8">
        <v>0.7</v>
      </c>
      <c r="I386" s="4">
        <v>0</v>
      </c>
    </row>
    <row r="387" spans="1:9" x14ac:dyDescent="0.2">
      <c r="A387" s="2">
        <v>4</v>
      </c>
      <c r="B387" s="1" t="s">
        <v>170</v>
      </c>
      <c r="C387" s="4">
        <v>86</v>
      </c>
      <c r="D387" s="8">
        <v>2.72</v>
      </c>
      <c r="E387" s="4">
        <v>68</v>
      </c>
      <c r="F387" s="8">
        <v>5.81</v>
      </c>
      <c r="G387" s="4">
        <v>18</v>
      </c>
      <c r="H387" s="8">
        <v>0.91</v>
      </c>
      <c r="I387" s="4">
        <v>0</v>
      </c>
    </row>
    <row r="388" spans="1:9" x14ac:dyDescent="0.2">
      <c r="A388" s="2">
        <v>5</v>
      </c>
      <c r="B388" s="1" t="s">
        <v>156</v>
      </c>
      <c r="C388" s="4">
        <v>80</v>
      </c>
      <c r="D388" s="8">
        <v>2.5299999999999998</v>
      </c>
      <c r="E388" s="4">
        <v>32</v>
      </c>
      <c r="F388" s="8">
        <v>2.74</v>
      </c>
      <c r="G388" s="4">
        <v>48</v>
      </c>
      <c r="H388" s="8">
        <v>2.42</v>
      </c>
      <c r="I388" s="4">
        <v>0</v>
      </c>
    </row>
    <row r="389" spans="1:9" x14ac:dyDescent="0.2">
      <c r="A389" s="2">
        <v>6</v>
      </c>
      <c r="B389" s="1" t="s">
        <v>165</v>
      </c>
      <c r="C389" s="4">
        <v>75</v>
      </c>
      <c r="D389" s="8">
        <v>2.37</v>
      </c>
      <c r="E389" s="4">
        <v>69</v>
      </c>
      <c r="F389" s="8">
        <v>5.9</v>
      </c>
      <c r="G389" s="4">
        <v>6</v>
      </c>
      <c r="H389" s="8">
        <v>0.3</v>
      </c>
      <c r="I389" s="4">
        <v>0</v>
      </c>
    </row>
    <row r="390" spans="1:9" x14ac:dyDescent="0.2">
      <c r="A390" s="2">
        <v>7</v>
      </c>
      <c r="B390" s="1" t="s">
        <v>163</v>
      </c>
      <c r="C390" s="4">
        <v>65</v>
      </c>
      <c r="D390" s="8">
        <v>2.06</v>
      </c>
      <c r="E390" s="4">
        <v>45</v>
      </c>
      <c r="F390" s="8">
        <v>3.85</v>
      </c>
      <c r="G390" s="4">
        <v>20</v>
      </c>
      <c r="H390" s="8">
        <v>1.01</v>
      </c>
      <c r="I390" s="4">
        <v>0</v>
      </c>
    </row>
    <row r="391" spans="1:9" x14ac:dyDescent="0.2">
      <c r="A391" s="2">
        <v>8</v>
      </c>
      <c r="B391" s="1" t="s">
        <v>167</v>
      </c>
      <c r="C391" s="4">
        <v>64</v>
      </c>
      <c r="D391" s="8">
        <v>2.0299999999999998</v>
      </c>
      <c r="E391" s="4">
        <v>60</v>
      </c>
      <c r="F391" s="8">
        <v>5.13</v>
      </c>
      <c r="G391" s="4">
        <v>4</v>
      </c>
      <c r="H391" s="8">
        <v>0.2</v>
      </c>
      <c r="I391" s="4">
        <v>0</v>
      </c>
    </row>
    <row r="392" spans="1:9" x14ac:dyDescent="0.2">
      <c r="A392" s="2">
        <v>9</v>
      </c>
      <c r="B392" s="1" t="s">
        <v>154</v>
      </c>
      <c r="C392" s="4">
        <v>62</v>
      </c>
      <c r="D392" s="8">
        <v>1.96</v>
      </c>
      <c r="E392" s="4">
        <v>5</v>
      </c>
      <c r="F392" s="8">
        <v>0.43</v>
      </c>
      <c r="G392" s="4">
        <v>57</v>
      </c>
      <c r="H392" s="8">
        <v>2.87</v>
      </c>
      <c r="I392" s="4">
        <v>0</v>
      </c>
    </row>
    <row r="393" spans="1:9" x14ac:dyDescent="0.2">
      <c r="A393" s="2">
        <v>10</v>
      </c>
      <c r="B393" s="1" t="s">
        <v>160</v>
      </c>
      <c r="C393" s="4">
        <v>58</v>
      </c>
      <c r="D393" s="8">
        <v>1.84</v>
      </c>
      <c r="E393" s="4">
        <v>4</v>
      </c>
      <c r="F393" s="8">
        <v>0.34</v>
      </c>
      <c r="G393" s="4">
        <v>54</v>
      </c>
      <c r="H393" s="8">
        <v>2.72</v>
      </c>
      <c r="I393" s="4">
        <v>0</v>
      </c>
    </row>
    <row r="394" spans="1:9" x14ac:dyDescent="0.2">
      <c r="A394" s="2">
        <v>10</v>
      </c>
      <c r="B394" s="1" t="s">
        <v>174</v>
      </c>
      <c r="C394" s="4">
        <v>58</v>
      </c>
      <c r="D394" s="8">
        <v>1.84</v>
      </c>
      <c r="E394" s="4">
        <v>0</v>
      </c>
      <c r="F394" s="8">
        <v>0</v>
      </c>
      <c r="G394" s="4">
        <v>58</v>
      </c>
      <c r="H394" s="8">
        <v>2.92</v>
      </c>
      <c r="I394" s="4">
        <v>0</v>
      </c>
    </row>
    <row r="395" spans="1:9" x14ac:dyDescent="0.2">
      <c r="A395" s="2">
        <v>12</v>
      </c>
      <c r="B395" s="1" t="s">
        <v>203</v>
      </c>
      <c r="C395" s="4">
        <v>57</v>
      </c>
      <c r="D395" s="8">
        <v>1.8</v>
      </c>
      <c r="E395" s="4">
        <v>5</v>
      </c>
      <c r="F395" s="8">
        <v>0.43</v>
      </c>
      <c r="G395" s="4">
        <v>52</v>
      </c>
      <c r="H395" s="8">
        <v>2.62</v>
      </c>
      <c r="I395" s="4">
        <v>0</v>
      </c>
    </row>
    <row r="396" spans="1:9" x14ac:dyDescent="0.2">
      <c r="A396" s="2">
        <v>12</v>
      </c>
      <c r="B396" s="1" t="s">
        <v>164</v>
      </c>
      <c r="C396" s="4">
        <v>57</v>
      </c>
      <c r="D396" s="8">
        <v>1.8</v>
      </c>
      <c r="E396" s="4">
        <v>53</v>
      </c>
      <c r="F396" s="8">
        <v>4.53</v>
      </c>
      <c r="G396" s="4">
        <v>4</v>
      </c>
      <c r="H396" s="8">
        <v>0.2</v>
      </c>
      <c r="I396" s="4">
        <v>0</v>
      </c>
    </row>
    <row r="397" spans="1:9" x14ac:dyDescent="0.2">
      <c r="A397" s="2">
        <v>14</v>
      </c>
      <c r="B397" s="1" t="s">
        <v>155</v>
      </c>
      <c r="C397" s="4">
        <v>55</v>
      </c>
      <c r="D397" s="8">
        <v>1.74</v>
      </c>
      <c r="E397" s="4">
        <v>6</v>
      </c>
      <c r="F397" s="8">
        <v>0.51</v>
      </c>
      <c r="G397" s="4">
        <v>49</v>
      </c>
      <c r="H397" s="8">
        <v>2.4700000000000002</v>
      </c>
      <c r="I397" s="4">
        <v>0</v>
      </c>
    </row>
    <row r="398" spans="1:9" x14ac:dyDescent="0.2">
      <c r="A398" s="2">
        <v>15</v>
      </c>
      <c r="B398" s="1" t="s">
        <v>162</v>
      </c>
      <c r="C398" s="4">
        <v>51</v>
      </c>
      <c r="D398" s="8">
        <v>1.61</v>
      </c>
      <c r="E398" s="4">
        <v>20</v>
      </c>
      <c r="F398" s="8">
        <v>1.71</v>
      </c>
      <c r="G398" s="4">
        <v>31</v>
      </c>
      <c r="H398" s="8">
        <v>1.56</v>
      </c>
      <c r="I398" s="4">
        <v>0</v>
      </c>
    </row>
    <row r="399" spans="1:9" x14ac:dyDescent="0.2">
      <c r="A399" s="2">
        <v>16</v>
      </c>
      <c r="B399" s="1" t="s">
        <v>159</v>
      </c>
      <c r="C399" s="4">
        <v>50</v>
      </c>
      <c r="D399" s="8">
        <v>1.58</v>
      </c>
      <c r="E399" s="4">
        <v>6</v>
      </c>
      <c r="F399" s="8">
        <v>0.51</v>
      </c>
      <c r="G399" s="4">
        <v>44</v>
      </c>
      <c r="H399" s="8">
        <v>2.21</v>
      </c>
      <c r="I399" s="4">
        <v>0</v>
      </c>
    </row>
    <row r="400" spans="1:9" x14ac:dyDescent="0.2">
      <c r="A400" s="2">
        <v>17</v>
      </c>
      <c r="B400" s="1" t="s">
        <v>184</v>
      </c>
      <c r="C400" s="4">
        <v>48</v>
      </c>
      <c r="D400" s="8">
        <v>1.52</v>
      </c>
      <c r="E400" s="4">
        <v>5</v>
      </c>
      <c r="F400" s="8">
        <v>0.43</v>
      </c>
      <c r="G400" s="4">
        <v>43</v>
      </c>
      <c r="H400" s="8">
        <v>2.16</v>
      </c>
      <c r="I400" s="4">
        <v>0</v>
      </c>
    </row>
    <row r="401" spans="1:9" x14ac:dyDescent="0.2">
      <c r="A401" s="2">
        <v>18</v>
      </c>
      <c r="B401" s="1" t="s">
        <v>169</v>
      </c>
      <c r="C401" s="4">
        <v>46</v>
      </c>
      <c r="D401" s="8">
        <v>1.46</v>
      </c>
      <c r="E401" s="4">
        <v>24</v>
      </c>
      <c r="F401" s="8">
        <v>2.0499999999999998</v>
      </c>
      <c r="G401" s="4">
        <v>22</v>
      </c>
      <c r="H401" s="8">
        <v>1.1100000000000001</v>
      </c>
      <c r="I401" s="4">
        <v>0</v>
      </c>
    </row>
    <row r="402" spans="1:9" x14ac:dyDescent="0.2">
      <c r="A402" s="2">
        <v>19</v>
      </c>
      <c r="B402" s="1" t="s">
        <v>166</v>
      </c>
      <c r="C402" s="4">
        <v>45</v>
      </c>
      <c r="D402" s="8">
        <v>1.42</v>
      </c>
      <c r="E402" s="4">
        <v>21</v>
      </c>
      <c r="F402" s="8">
        <v>1.79</v>
      </c>
      <c r="G402" s="4">
        <v>24</v>
      </c>
      <c r="H402" s="8">
        <v>1.21</v>
      </c>
      <c r="I402" s="4">
        <v>0</v>
      </c>
    </row>
    <row r="403" spans="1:9" x14ac:dyDescent="0.2">
      <c r="A403" s="2">
        <v>20</v>
      </c>
      <c r="B403" s="1" t="s">
        <v>175</v>
      </c>
      <c r="C403" s="4">
        <v>43</v>
      </c>
      <c r="D403" s="8">
        <v>1.36</v>
      </c>
      <c r="E403" s="4">
        <v>39</v>
      </c>
      <c r="F403" s="8">
        <v>3.33</v>
      </c>
      <c r="G403" s="4">
        <v>4</v>
      </c>
      <c r="H403" s="8">
        <v>0.2</v>
      </c>
      <c r="I403" s="4">
        <v>0</v>
      </c>
    </row>
    <row r="404" spans="1:9" x14ac:dyDescent="0.2">
      <c r="A404" s="1"/>
      <c r="C404" s="4"/>
      <c r="D404" s="8"/>
      <c r="E404" s="4"/>
      <c r="F404" s="8"/>
      <c r="G404" s="4"/>
      <c r="H404" s="8"/>
      <c r="I404" s="4"/>
    </row>
    <row r="405" spans="1:9" x14ac:dyDescent="0.2">
      <c r="A405" s="1" t="s">
        <v>18</v>
      </c>
      <c r="C405" s="4"/>
      <c r="D405" s="8"/>
      <c r="E405" s="4"/>
      <c r="F405" s="8"/>
      <c r="G405" s="4"/>
      <c r="H405" s="8"/>
      <c r="I405" s="4"/>
    </row>
    <row r="406" spans="1:9" x14ac:dyDescent="0.2">
      <c r="A406" s="2">
        <v>1</v>
      </c>
      <c r="B406" s="1" t="s">
        <v>168</v>
      </c>
      <c r="C406" s="4">
        <v>393</v>
      </c>
      <c r="D406" s="8">
        <v>4.88</v>
      </c>
      <c r="E406" s="4">
        <v>348</v>
      </c>
      <c r="F406" s="8">
        <v>8.9700000000000006</v>
      </c>
      <c r="G406" s="4">
        <v>45</v>
      </c>
      <c r="H406" s="8">
        <v>1.0900000000000001</v>
      </c>
      <c r="I406" s="4">
        <v>0</v>
      </c>
    </row>
    <row r="407" spans="1:9" x14ac:dyDescent="0.2">
      <c r="A407" s="2">
        <v>2</v>
      </c>
      <c r="B407" s="1" t="s">
        <v>161</v>
      </c>
      <c r="C407" s="4">
        <v>289</v>
      </c>
      <c r="D407" s="8">
        <v>3.59</v>
      </c>
      <c r="E407" s="4">
        <v>131</v>
      </c>
      <c r="F407" s="8">
        <v>3.38</v>
      </c>
      <c r="G407" s="4">
        <v>158</v>
      </c>
      <c r="H407" s="8">
        <v>3.82</v>
      </c>
      <c r="I407" s="4">
        <v>0</v>
      </c>
    </row>
    <row r="408" spans="1:9" x14ac:dyDescent="0.2">
      <c r="A408" s="2">
        <v>3</v>
      </c>
      <c r="B408" s="1" t="s">
        <v>167</v>
      </c>
      <c r="C408" s="4">
        <v>263</v>
      </c>
      <c r="D408" s="8">
        <v>3.27</v>
      </c>
      <c r="E408" s="4">
        <v>255</v>
      </c>
      <c r="F408" s="8">
        <v>6.58</v>
      </c>
      <c r="G408" s="4">
        <v>8</v>
      </c>
      <c r="H408" s="8">
        <v>0.19</v>
      </c>
      <c r="I408" s="4">
        <v>0</v>
      </c>
    </row>
    <row r="409" spans="1:9" x14ac:dyDescent="0.2">
      <c r="A409" s="2">
        <v>4</v>
      </c>
      <c r="B409" s="1" t="s">
        <v>163</v>
      </c>
      <c r="C409" s="4">
        <v>219</v>
      </c>
      <c r="D409" s="8">
        <v>2.72</v>
      </c>
      <c r="E409" s="4">
        <v>166</v>
      </c>
      <c r="F409" s="8">
        <v>4.28</v>
      </c>
      <c r="G409" s="4">
        <v>53</v>
      </c>
      <c r="H409" s="8">
        <v>1.28</v>
      </c>
      <c r="I409" s="4">
        <v>0</v>
      </c>
    </row>
    <row r="410" spans="1:9" x14ac:dyDescent="0.2">
      <c r="A410" s="2">
        <v>5</v>
      </c>
      <c r="B410" s="1" t="s">
        <v>164</v>
      </c>
      <c r="C410" s="4">
        <v>205</v>
      </c>
      <c r="D410" s="8">
        <v>2.5499999999999998</v>
      </c>
      <c r="E410" s="4">
        <v>180</v>
      </c>
      <c r="F410" s="8">
        <v>4.6399999999999997</v>
      </c>
      <c r="G410" s="4">
        <v>25</v>
      </c>
      <c r="H410" s="8">
        <v>0.6</v>
      </c>
      <c r="I410" s="4">
        <v>0</v>
      </c>
    </row>
    <row r="411" spans="1:9" x14ac:dyDescent="0.2">
      <c r="A411" s="2">
        <v>6</v>
      </c>
      <c r="B411" s="1" t="s">
        <v>171</v>
      </c>
      <c r="C411" s="4">
        <v>200</v>
      </c>
      <c r="D411" s="8">
        <v>2.4900000000000002</v>
      </c>
      <c r="E411" s="4">
        <v>171</v>
      </c>
      <c r="F411" s="8">
        <v>4.41</v>
      </c>
      <c r="G411" s="4">
        <v>29</v>
      </c>
      <c r="H411" s="8">
        <v>0.7</v>
      </c>
      <c r="I411" s="4">
        <v>0</v>
      </c>
    </row>
    <row r="412" spans="1:9" x14ac:dyDescent="0.2">
      <c r="A412" s="2">
        <v>7</v>
      </c>
      <c r="B412" s="1" t="s">
        <v>170</v>
      </c>
      <c r="C412" s="4">
        <v>193</v>
      </c>
      <c r="D412" s="8">
        <v>2.4</v>
      </c>
      <c r="E412" s="4">
        <v>148</v>
      </c>
      <c r="F412" s="8">
        <v>3.82</v>
      </c>
      <c r="G412" s="4">
        <v>45</v>
      </c>
      <c r="H412" s="8">
        <v>1.0900000000000001</v>
      </c>
      <c r="I412" s="4">
        <v>0</v>
      </c>
    </row>
    <row r="413" spans="1:9" x14ac:dyDescent="0.2">
      <c r="A413" s="2">
        <v>8</v>
      </c>
      <c r="B413" s="1" t="s">
        <v>165</v>
      </c>
      <c r="C413" s="4">
        <v>192</v>
      </c>
      <c r="D413" s="8">
        <v>2.39</v>
      </c>
      <c r="E413" s="4">
        <v>174</v>
      </c>
      <c r="F413" s="8">
        <v>4.49</v>
      </c>
      <c r="G413" s="4">
        <v>18</v>
      </c>
      <c r="H413" s="8">
        <v>0.44</v>
      </c>
      <c r="I413" s="4">
        <v>0</v>
      </c>
    </row>
    <row r="414" spans="1:9" x14ac:dyDescent="0.2">
      <c r="A414" s="2">
        <v>9</v>
      </c>
      <c r="B414" s="1" t="s">
        <v>156</v>
      </c>
      <c r="C414" s="4">
        <v>170</v>
      </c>
      <c r="D414" s="8">
        <v>2.11</v>
      </c>
      <c r="E414" s="4">
        <v>77</v>
      </c>
      <c r="F414" s="8">
        <v>1.99</v>
      </c>
      <c r="G414" s="4">
        <v>93</v>
      </c>
      <c r="H414" s="8">
        <v>2.25</v>
      </c>
      <c r="I414" s="4">
        <v>0</v>
      </c>
    </row>
    <row r="415" spans="1:9" x14ac:dyDescent="0.2">
      <c r="A415" s="2">
        <v>10</v>
      </c>
      <c r="B415" s="1" t="s">
        <v>153</v>
      </c>
      <c r="C415" s="4">
        <v>139</v>
      </c>
      <c r="D415" s="8">
        <v>1.73</v>
      </c>
      <c r="E415" s="4">
        <v>26</v>
      </c>
      <c r="F415" s="8">
        <v>0.67</v>
      </c>
      <c r="G415" s="4">
        <v>113</v>
      </c>
      <c r="H415" s="8">
        <v>2.73</v>
      </c>
      <c r="I415" s="4">
        <v>0</v>
      </c>
    </row>
    <row r="416" spans="1:9" x14ac:dyDescent="0.2">
      <c r="A416" s="2">
        <v>11</v>
      </c>
      <c r="B416" s="1" t="s">
        <v>158</v>
      </c>
      <c r="C416" s="4">
        <v>137</v>
      </c>
      <c r="D416" s="8">
        <v>1.7</v>
      </c>
      <c r="E416" s="4">
        <v>76</v>
      </c>
      <c r="F416" s="8">
        <v>1.96</v>
      </c>
      <c r="G416" s="4">
        <v>61</v>
      </c>
      <c r="H416" s="8">
        <v>1.48</v>
      </c>
      <c r="I416" s="4">
        <v>0</v>
      </c>
    </row>
    <row r="417" spans="1:9" x14ac:dyDescent="0.2">
      <c r="A417" s="2">
        <v>12</v>
      </c>
      <c r="B417" s="1" t="s">
        <v>205</v>
      </c>
      <c r="C417" s="4">
        <v>124</v>
      </c>
      <c r="D417" s="8">
        <v>1.54</v>
      </c>
      <c r="E417" s="4">
        <v>50</v>
      </c>
      <c r="F417" s="8">
        <v>1.29</v>
      </c>
      <c r="G417" s="4">
        <v>74</v>
      </c>
      <c r="H417" s="8">
        <v>1.79</v>
      </c>
      <c r="I417" s="4">
        <v>0</v>
      </c>
    </row>
    <row r="418" spans="1:9" x14ac:dyDescent="0.2">
      <c r="A418" s="2">
        <v>13</v>
      </c>
      <c r="B418" s="1" t="s">
        <v>186</v>
      </c>
      <c r="C418" s="4">
        <v>123</v>
      </c>
      <c r="D418" s="8">
        <v>1.53</v>
      </c>
      <c r="E418" s="4">
        <v>69</v>
      </c>
      <c r="F418" s="8">
        <v>1.78</v>
      </c>
      <c r="G418" s="4">
        <v>54</v>
      </c>
      <c r="H418" s="8">
        <v>1.31</v>
      </c>
      <c r="I418" s="4">
        <v>0</v>
      </c>
    </row>
    <row r="419" spans="1:9" x14ac:dyDescent="0.2">
      <c r="A419" s="2">
        <v>13</v>
      </c>
      <c r="B419" s="1" t="s">
        <v>162</v>
      </c>
      <c r="C419" s="4">
        <v>123</v>
      </c>
      <c r="D419" s="8">
        <v>1.53</v>
      </c>
      <c r="E419" s="4">
        <v>48</v>
      </c>
      <c r="F419" s="8">
        <v>1.24</v>
      </c>
      <c r="G419" s="4">
        <v>74</v>
      </c>
      <c r="H419" s="8">
        <v>1.79</v>
      </c>
      <c r="I419" s="4">
        <v>0</v>
      </c>
    </row>
    <row r="420" spans="1:9" x14ac:dyDescent="0.2">
      <c r="A420" s="2">
        <v>15</v>
      </c>
      <c r="B420" s="1" t="s">
        <v>157</v>
      </c>
      <c r="C420" s="4">
        <v>119</v>
      </c>
      <c r="D420" s="8">
        <v>1.48</v>
      </c>
      <c r="E420" s="4">
        <v>55</v>
      </c>
      <c r="F420" s="8">
        <v>1.42</v>
      </c>
      <c r="G420" s="4">
        <v>64</v>
      </c>
      <c r="H420" s="8">
        <v>1.55</v>
      </c>
      <c r="I420" s="4">
        <v>0</v>
      </c>
    </row>
    <row r="421" spans="1:9" x14ac:dyDescent="0.2">
      <c r="A421" s="2">
        <v>16</v>
      </c>
      <c r="B421" s="1" t="s">
        <v>176</v>
      </c>
      <c r="C421" s="4">
        <v>117</v>
      </c>
      <c r="D421" s="8">
        <v>1.45</v>
      </c>
      <c r="E421" s="4">
        <v>103</v>
      </c>
      <c r="F421" s="8">
        <v>2.66</v>
      </c>
      <c r="G421" s="4">
        <v>14</v>
      </c>
      <c r="H421" s="8">
        <v>0.34</v>
      </c>
      <c r="I421" s="4">
        <v>0</v>
      </c>
    </row>
    <row r="422" spans="1:9" x14ac:dyDescent="0.2">
      <c r="A422" s="2">
        <v>17</v>
      </c>
      <c r="B422" s="1" t="s">
        <v>154</v>
      </c>
      <c r="C422" s="4">
        <v>113</v>
      </c>
      <c r="D422" s="8">
        <v>1.4</v>
      </c>
      <c r="E422" s="4">
        <v>26</v>
      </c>
      <c r="F422" s="8">
        <v>0.67</v>
      </c>
      <c r="G422" s="4">
        <v>87</v>
      </c>
      <c r="H422" s="8">
        <v>2.11</v>
      </c>
      <c r="I422" s="4">
        <v>0</v>
      </c>
    </row>
    <row r="423" spans="1:9" x14ac:dyDescent="0.2">
      <c r="A423" s="2">
        <v>18</v>
      </c>
      <c r="B423" s="1" t="s">
        <v>166</v>
      </c>
      <c r="C423" s="4">
        <v>112</v>
      </c>
      <c r="D423" s="8">
        <v>1.39</v>
      </c>
      <c r="E423" s="4">
        <v>82</v>
      </c>
      <c r="F423" s="8">
        <v>2.11</v>
      </c>
      <c r="G423" s="4">
        <v>30</v>
      </c>
      <c r="H423" s="8">
        <v>0.73</v>
      </c>
      <c r="I423" s="4">
        <v>0</v>
      </c>
    </row>
    <row r="424" spans="1:9" x14ac:dyDescent="0.2">
      <c r="A424" s="2">
        <v>19</v>
      </c>
      <c r="B424" s="1" t="s">
        <v>160</v>
      </c>
      <c r="C424" s="4">
        <v>111</v>
      </c>
      <c r="D424" s="8">
        <v>1.38</v>
      </c>
      <c r="E424" s="4">
        <v>17</v>
      </c>
      <c r="F424" s="8">
        <v>0.44</v>
      </c>
      <c r="G424" s="4">
        <v>94</v>
      </c>
      <c r="H424" s="8">
        <v>2.27</v>
      </c>
      <c r="I424" s="4">
        <v>0</v>
      </c>
    </row>
    <row r="425" spans="1:9" x14ac:dyDescent="0.2">
      <c r="A425" s="2">
        <v>20</v>
      </c>
      <c r="B425" s="1" t="s">
        <v>159</v>
      </c>
      <c r="C425" s="4">
        <v>110</v>
      </c>
      <c r="D425" s="8">
        <v>1.37</v>
      </c>
      <c r="E425" s="4">
        <v>40</v>
      </c>
      <c r="F425" s="8">
        <v>1.03</v>
      </c>
      <c r="G425" s="4">
        <v>70</v>
      </c>
      <c r="H425" s="8">
        <v>1.69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168</v>
      </c>
      <c r="C428" s="4">
        <v>346</v>
      </c>
      <c r="D428" s="8">
        <v>4.76</v>
      </c>
      <c r="E428" s="4">
        <v>312</v>
      </c>
      <c r="F428" s="8">
        <v>8.7100000000000009</v>
      </c>
      <c r="G428" s="4">
        <v>34</v>
      </c>
      <c r="H428" s="8">
        <v>0.93</v>
      </c>
      <c r="I428" s="4">
        <v>0</v>
      </c>
    </row>
    <row r="429" spans="1:9" x14ac:dyDescent="0.2">
      <c r="A429" s="2">
        <v>2</v>
      </c>
      <c r="B429" s="1" t="s">
        <v>161</v>
      </c>
      <c r="C429" s="4">
        <v>265</v>
      </c>
      <c r="D429" s="8">
        <v>3.65</v>
      </c>
      <c r="E429" s="4">
        <v>120</v>
      </c>
      <c r="F429" s="8">
        <v>3.35</v>
      </c>
      <c r="G429" s="4">
        <v>145</v>
      </c>
      <c r="H429" s="8">
        <v>3.98</v>
      </c>
      <c r="I429" s="4">
        <v>0</v>
      </c>
    </row>
    <row r="430" spans="1:9" x14ac:dyDescent="0.2">
      <c r="A430" s="2">
        <v>3</v>
      </c>
      <c r="B430" s="1" t="s">
        <v>170</v>
      </c>
      <c r="C430" s="4">
        <v>217</v>
      </c>
      <c r="D430" s="8">
        <v>2.99</v>
      </c>
      <c r="E430" s="4">
        <v>172</v>
      </c>
      <c r="F430" s="8">
        <v>4.8</v>
      </c>
      <c r="G430" s="4">
        <v>43</v>
      </c>
      <c r="H430" s="8">
        <v>1.18</v>
      </c>
      <c r="I430" s="4">
        <v>1</v>
      </c>
    </row>
    <row r="431" spans="1:9" x14ac:dyDescent="0.2">
      <c r="A431" s="2">
        <v>4</v>
      </c>
      <c r="B431" s="1" t="s">
        <v>167</v>
      </c>
      <c r="C431" s="4">
        <v>197</v>
      </c>
      <c r="D431" s="8">
        <v>2.71</v>
      </c>
      <c r="E431" s="4">
        <v>183</v>
      </c>
      <c r="F431" s="8">
        <v>5.1100000000000003</v>
      </c>
      <c r="G431" s="4">
        <v>14</v>
      </c>
      <c r="H431" s="8">
        <v>0.38</v>
      </c>
      <c r="I431" s="4">
        <v>0</v>
      </c>
    </row>
    <row r="432" spans="1:9" x14ac:dyDescent="0.2">
      <c r="A432" s="2">
        <v>5</v>
      </c>
      <c r="B432" s="1" t="s">
        <v>163</v>
      </c>
      <c r="C432" s="4">
        <v>196</v>
      </c>
      <c r="D432" s="8">
        <v>2.7</v>
      </c>
      <c r="E432" s="4">
        <v>144</v>
      </c>
      <c r="F432" s="8">
        <v>4.0199999999999996</v>
      </c>
      <c r="G432" s="4">
        <v>52</v>
      </c>
      <c r="H432" s="8">
        <v>1.43</v>
      </c>
      <c r="I432" s="4">
        <v>0</v>
      </c>
    </row>
    <row r="433" spans="1:9" x14ac:dyDescent="0.2">
      <c r="A433" s="2">
        <v>6</v>
      </c>
      <c r="B433" s="1" t="s">
        <v>171</v>
      </c>
      <c r="C433" s="4">
        <v>174</v>
      </c>
      <c r="D433" s="8">
        <v>2.4</v>
      </c>
      <c r="E433" s="4">
        <v>151</v>
      </c>
      <c r="F433" s="8">
        <v>4.22</v>
      </c>
      <c r="G433" s="4">
        <v>23</v>
      </c>
      <c r="H433" s="8">
        <v>0.63</v>
      </c>
      <c r="I433" s="4">
        <v>0</v>
      </c>
    </row>
    <row r="434" spans="1:9" x14ac:dyDescent="0.2">
      <c r="A434" s="2">
        <v>7</v>
      </c>
      <c r="B434" s="1" t="s">
        <v>156</v>
      </c>
      <c r="C434" s="4">
        <v>169</v>
      </c>
      <c r="D434" s="8">
        <v>2.33</v>
      </c>
      <c r="E434" s="4">
        <v>95</v>
      </c>
      <c r="F434" s="8">
        <v>2.65</v>
      </c>
      <c r="G434" s="4">
        <v>74</v>
      </c>
      <c r="H434" s="8">
        <v>2.0299999999999998</v>
      </c>
      <c r="I434" s="4">
        <v>0</v>
      </c>
    </row>
    <row r="435" spans="1:9" x14ac:dyDescent="0.2">
      <c r="A435" s="2">
        <v>8</v>
      </c>
      <c r="B435" s="1" t="s">
        <v>165</v>
      </c>
      <c r="C435" s="4">
        <v>158</v>
      </c>
      <c r="D435" s="8">
        <v>2.1800000000000002</v>
      </c>
      <c r="E435" s="4">
        <v>142</v>
      </c>
      <c r="F435" s="8">
        <v>3.96</v>
      </c>
      <c r="G435" s="4">
        <v>14</v>
      </c>
      <c r="H435" s="8">
        <v>0.38</v>
      </c>
      <c r="I435" s="4">
        <v>2</v>
      </c>
    </row>
    <row r="436" spans="1:9" x14ac:dyDescent="0.2">
      <c r="A436" s="2">
        <v>9</v>
      </c>
      <c r="B436" s="1" t="s">
        <v>164</v>
      </c>
      <c r="C436" s="4">
        <v>152</v>
      </c>
      <c r="D436" s="8">
        <v>2.09</v>
      </c>
      <c r="E436" s="4">
        <v>138</v>
      </c>
      <c r="F436" s="8">
        <v>3.85</v>
      </c>
      <c r="G436" s="4">
        <v>14</v>
      </c>
      <c r="H436" s="8">
        <v>0.38</v>
      </c>
      <c r="I436" s="4">
        <v>0</v>
      </c>
    </row>
    <row r="437" spans="1:9" x14ac:dyDescent="0.2">
      <c r="A437" s="2">
        <v>10</v>
      </c>
      <c r="B437" s="1" t="s">
        <v>160</v>
      </c>
      <c r="C437" s="4">
        <v>143</v>
      </c>
      <c r="D437" s="8">
        <v>1.97</v>
      </c>
      <c r="E437" s="4">
        <v>17</v>
      </c>
      <c r="F437" s="8">
        <v>0.47</v>
      </c>
      <c r="G437" s="4">
        <v>126</v>
      </c>
      <c r="H437" s="8">
        <v>3.46</v>
      </c>
      <c r="I437" s="4">
        <v>0</v>
      </c>
    </row>
    <row r="438" spans="1:9" x14ac:dyDescent="0.2">
      <c r="A438" s="2">
        <v>11</v>
      </c>
      <c r="B438" s="1" t="s">
        <v>158</v>
      </c>
      <c r="C438" s="4">
        <v>139</v>
      </c>
      <c r="D438" s="8">
        <v>1.91</v>
      </c>
      <c r="E438" s="4">
        <v>77</v>
      </c>
      <c r="F438" s="8">
        <v>2.15</v>
      </c>
      <c r="G438" s="4">
        <v>62</v>
      </c>
      <c r="H438" s="8">
        <v>1.7</v>
      </c>
      <c r="I438" s="4">
        <v>0</v>
      </c>
    </row>
    <row r="439" spans="1:9" x14ac:dyDescent="0.2">
      <c r="A439" s="2">
        <v>12</v>
      </c>
      <c r="B439" s="1" t="s">
        <v>154</v>
      </c>
      <c r="C439" s="4">
        <v>138</v>
      </c>
      <c r="D439" s="8">
        <v>1.9</v>
      </c>
      <c r="E439" s="4">
        <v>30</v>
      </c>
      <c r="F439" s="8">
        <v>0.84</v>
      </c>
      <c r="G439" s="4">
        <v>108</v>
      </c>
      <c r="H439" s="8">
        <v>2.97</v>
      </c>
      <c r="I439" s="4">
        <v>0</v>
      </c>
    </row>
    <row r="440" spans="1:9" x14ac:dyDescent="0.2">
      <c r="A440" s="2">
        <v>13</v>
      </c>
      <c r="B440" s="1" t="s">
        <v>205</v>
      </c>
      <c r="C440" s="4">
        <v>129</v>
      </c>
      <c r="D440" s="8">
        <v>1.78</v>
      </c>
      <c r="E440" s="4">
        <v>41</v>
      </c>
      <c r="F440" s="8">
        <v>1.1399999999999999</v>
      </c>
      <c r="G440" s="4">
        <v>88</v>
      </c>
      <c r="H440" s="8">
        <v>2.42</v>
      </c>
      <c r="I440" s="4">
        <v>0</v>
      </c>
    </row>
    <row r="441" spans="1:9" x14ac:dyDescent="0.2">
      <c r="A441" s="2">
        <v>14</v>
      </c>
      <c r="B441" s="1" t="s">
        <v>153</v>
      </c>
      <c r="C441" s="4">
        <v>116</v>
      </c>
      <c r="D441" s="8">
        <v>1.6</v>
      </c>
      <c r="E441" s="4">
        <v>12</v>
      </c>
      <c r="F441" s="8">
        <v>0.34</v>
      </c>
      <c r="G441" s="4">
        <v>104</v>
      </c>
      <c r="H441" s="8">
        <v>2.86</v>
      </c>
      <c r="I441" s="4">
        <v>0</v>
      </c>
    </row>
    <row r="442" spans="1:9" x14ac:dyDescent="0.2">
      <c r="A442" s="2">
        <v>15</v>
      </c>
      <c r="B442" s="1" t="s">
        <v>152</v>
      </c>
      <c r="C442" s="4">
        <v>115</v>
      </c>
      <c r="D442" s="8">
        <v>1.58</v>
      </c>
      <c r="E442" s="4">
        <v>25</v>
      </c>
      <c r="F442" s="8">
        <v>0.7</v>
      </c>
      <c r="G442" s="4">
        <v>90</v>
      </c>
      <c r="H442" s="8">
        <v>2.4700000000000002</v>
      </c>
      <c r="I442" s="4">
        <v>0</v>
      </c>
    </row>
    <row r="443" spans="1:9" x14ac:dyDescent="0.2">
      <c r="A443" s="2">
        <v>16</v>
      </c>
      <c r="B443" s="1" t="s">
        <v>157</v>
      </c>
      <c r="C443" s="4">
        <v>100</v>
      </c>
      <c r="D443" s="8">
        <v>1.38</v>
      </c>
      <c r="E443" s="4">
        <v>56</v>
      </c>
      <c r="F443" s="8">
        <v>1.56</v>
      </c>
      <c r="G443" s="4">
        <v>44</v>
      </c>
      <c r="H443" s="8">
        <v>1.21</v>
      </c>
      <c r="I443" s="4">
        <v>0</v>
      </c>
    </row>
    <row r="444" spans="1:9" x14ac:dyDescent="0.2">
      <c r="A444" s="2">
        <v>16</v>
      </c>
      <c r="B444" s="1" t="s">
        <v>188</v>
      </c>
      <c r="C444" s="4">
        <v>100</v>
      </c>
      <c r="D444" s="8">
        <v>1.38</v>
      </c>
      <c r="E444" s="4">
        <v>72</v>
      </c>
      <c r="F444" s="8">
        <v>2.0099999999999998</v>
      </c>
      <c r="G444" s="4">
        <v>28</v>
      </c>
      <c r="H444" s="8">
        <v>0.77</v>
      </c>
      <c r="I444" s="4">
        <v>0</v>
      </c>
    </row>
    <row r="445" spans="1:9" x14ac:dyDescent="0.2">
      <c r="A445" s="2">
        <v>18</v>
      </c>
      <c r="B445" s="1" t="s">
        <v>198</v>
      </c>
      <c r="C445" s="4">
        <v>96</v>
      </c>
      <c r="D445" s="8">
        <v>1.32</v>
      </c>
      <c r="E445" s="4">
        <v>55</v>
      </c>
      <c r="F445" s="8">
        <v>1.54</v>
      </c>
      <c r="G445" s="4">
        <v>41</v>
      </c>
      <c r="H445" s="8">
        <v>1.1299999999999999</v>
      </c>
      <c r="I445" s="4">
        <v>0</v>
      </c>
    </row>
    <row r="446" spans="1:9" x14ac:dyDescent="0.2">
      <c r="A446" s="2">
        <v>18</v>
      </c>
      <c r="B446" s="1" t="s">
        <v>169</v>
      </c>
      <c r="C446" s="4">
        <v>96</v>
      </c>
      <c r="D446" s="8">
        <v>1.32</v>
      </c>
      <c r="E446" s="4">
        <v>69</v>
      </c>
      <c r="F446" s="8">
        <v>1.93</v>
      </c>
      <c r="G446" s="4">
        <v>27</v>
      </c>
      <c r="H446" s="8">
        <v>0.74</v>
      </c>
      <c r="I446" s="4">
        <v>0</v>
      </c>
    </row>
    <row r="447" spans="1:9" x14ac:dyDescent="0.2">
      <c r="A447" s="2">
        <v>20</v>
      </c>
      <c r="B447" s="1" t="s">
        <v>159</v>
      </c>
      <c r="C447" s="4">
        <v>89</v>
      </c>
      <c r="D447" s="8">
        <v>1.23</v>
      </c>
      <c r="E447" s="4">
        <v>26</v>
      </c>
      <c r="F447" s="8">
        <v>0.73</v>
      </c>
      <c r="G447" s="4">
        <v>63</v>
      </c>
      <c r="H447" s="8">
        <v>1.73</v>
      </c>
      <c r="I447" s="4">
        <v>0</v>
      </c>
    </row>
    <row r="448" spans="1:9" x14ac:dyDescent="0.2">
      <c r="A448" s="1"/>
      <c r="C448" s="4"/>
      <c r="D448" s="8"/>
      <c r="E448" s="4"/>
      <c r="F448" s="8"/>
      <c r="G448" s="4"/>
      <c r="H448" s="8"/>
      <c r="I448" s="4"/>
    </row>
    <row r="449" spans="1:9" x14ac:dyDescent="0.2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2">
      <c r="A450" s="2">
        <v>1</v>
      </c>
      <c r="B450" s="1" t="s">
        <v>168</v>
      </c>
      <c r="C450" s="4">
        <v>375</v>
      </c>
      <c r="D450" s="8">
        <v>3.77</v>
      </c>
      <c r="E450" s="4">
        <v>334</v>
      </c>
      <c r="F450" s="8">
        <v>6.25</v>
      </c>
      <c r="G450" s="4">
        <v>41</v>
      </c>
      <c r="H450" s="8">
        <v>0.9</v>
      </c>
      <c r="I450" s="4">
        <v>0</v>
      </c>
    </row>
    <row r="451" spans="1:9" x14ac:dyDescent="0.2">
      <c r="A451" s="2">
        <v>2</v>
      </c>
      <c r="B451" s="1" t="s">
        <v>170</v>
      </c>
      <c r="C451" s="4">
        <v>356</v>
      </c>
      <c r="D451" s="8">
        <v>3.58</v>
      </c>
      <c r="E451" s="4">
        <v>306</v>
      </c>
      <c r="F451" s="8">
        <v>5.73</v>
      </c>
      <c r="G451" s="4">
        <v>49</v>
      </c>
      <c r="H451" s="8">
        <v>1.07</v>
      </c>
      <c r="I451" s="4">
        <v>1</v>
      </c>
    </row>
    <row r="452" spans="1:9" x14ac:dyDescent="0.2">
      <c r="A452" s="2">
        <v>3</v>
      </c>
      <c r="B452" s="1" t="s">
        <v>161</v>
      </c>
      <c r="C452" s="4">
        <v>327</v>
      </c>
      <c r="D452" s="8">
        <v>3.29</v>
      </c>
      <c r="E452" s="4">
        <v>115</v>
      </c>
      <c r="F452" s="8">
        <v>2.15</v>
      </c>
      <c r="G452" s="4">
        <v>212</v>
      </c>
      <c r="H452" s="8">
        <v>4.6399999999999997</v>
      </c>
      <c r="I452" s="4">
        <v>0</v>
      </c>
    </row>
    <row r="453" spans="1:9" x14ac:dyDescent="0.2">
      <c r="A453" s="2">
        <v>4</v>
      </c>
      <c r="B453" s="1" t="s">
        <v>165</v>
      </c>
      <c r="C453" s="4">
        <v>295</v>
      </c>
      <c r="D453" s="8">
        <v>2.97</v>
      </c>
      <c r="E453" s="4">
        <v>275</v>
      </c>
      <c r="F453" s="8">
        <v>5.15</v>
      </c>
      <c r="G453" s="4">
        <v>20</v>
      </c>
      <c r="H453" s="8">
        <v>0.44</v>
      </c>
      <c r="I453" s="4">
        <v>0</v>
      </c>
    </row>
    <row r="454" spans="1:9" x14ac:dyDescent="0.2">
      <c r="A454" s="2">
        <v>5</v>
      </c>
      <c r="B454" s="1" t="s">
        <v>206</v>
      </c>
      <c r="C454" s="4">
        <v>294</v>
      </c>
      <c r="D454" s="8">
        <v>2.96</v>
      </c>
      <c r="E454" s="4">
        <v>203</v>
      </c>
      <c r="F454" s="8">
        <v>3.8</v>
      </c>
      <c r="G454" s="4">
        <v>91</v>
      </c>
      <c r="H454" s="8">
        <v>1.99</v>
      </c>
      <c r="I454" s="4">
        <v>0</v>
      </c>
    </row>
    <row r="455" spans="1:9" x14ac:dyDescent="0.2">
      <c r="A455" s="2">
        <v>6</v>
      </c>
      <c r="B455" s="1" t="s">
        <v>171</v>
      </c>
      <c r="C455" s="4">
        <v>273</v>
      </c>
      <c r="D455" s="8">
        <v>2.75</v>
      </c>
      <c r="E455" s="4">
        <v>253</v>
      </c>
      <c r="F455" s="8">
        <v>4.7300000000000004</v>
      </c>
      <c r="G455" s="4">
        <v>20</v>
      </c>
      <c r="H455" s="8">
        <v>0.44</v>
      </c>
      <c r="I455" s="4">
        <v>0</v>
      </c>
    </row>
    <row r="456" spans="1:9" x14ac:dyDescent="0.2">
      <c r="A456" s="2">
        <v>7</v>
      </c>
      <c r="B456" s="1" t="s">
        <v>156</v>
      </c>
      <c r="C456" s="4">
        <v>215</v>
      </c>
      <c r="D456" s="8">
        <v>2.16</v>
      </c>
      <c r="E456" s="4">
        <v>112</v>
      </c>
      <c r="F456" s="8">
        <v>2.1</v>
      </c>
      <c r="G456" s="4">
        <v>103</v>
      </c>
      <c r="H456" s="8">
        <v>2.2599999999999998</v>
      </c>
      <c r="I456" s="4">
        <v>0</v>
      </c>
    </row>
    <row r="457" spans="1:9" x14ac:dyDescent="0.2">
      <c r="A457" s="2">
        <v>8</v>
      </c>
      <c r="B457" s="1" t="s">
        <v>163</v>
      </c>
      <c r="C457" s="4">
        <v>214</v>
      </c>
      <c r="D457" s="8">
        <v>2.15</v>
      </c>
      <c r="E457" s="4">
        <v>178</v>
      </c>
      <c r="F457" s="8">
        <v>3.33</v>
      </c>
      <c r="G457" s="4">
        <v>36</v>
      </c>
      <c r="H457" s="8">
        <v>0.79</v>
      </c>
      <c r="I457" s="4">
        <v>0</v>
      </c>
    </row>
    <row r="458" spans="1:9" x14ac:dyDescent="0.2">
      <c r="A458" s="2">
        <v>8</v>
      </c>
      <c r="B458" s="1" t="s">
        <v>167</v>
      </c>
      <c r="C458" s="4">
        <v>214</v>
      </c>
      <c r="D458" s="8">
        <v>2.15</v>
      </c>
      <c r="E458" s="4">
        <v>204</v>
      </c>
      <c r="F458" s="8">
        <v>3.82</v>
      </c>
      <c r="G458" s="4">
        <v>10</v>
      </c>
      <c r="H458" s="8">
        <v>0.22</v>
      </c>
      <c r="I458" s="4">
        <v>0</v>
      </c>
    </row>
    <row r="459" spans="1:9" x14ac:dyDescent="0.2">
      <c r="A459" s="2">
        <v>10</v>
      </c>
      <c r="B459" s="1" t="s">
        <v>164</v>
      </c>
      <c r="C459" s="4">
        <v>171</v>
      </c>
      <c r="D459" s="8">
        <v>1.72</v>
      </c>
      <c r="E459" s="4">
        <v>164</v>
      </c>
      <c r="F459" s="8">
        <v>3.07</v>
      </c>
      <c r="G459" s="4">
        <v>7</v>
      </c>
      <c r="H459" s="8">
        <v>0.15</v>
      </c>
      <c r="I459" s="4">
        <v>0</v>
      </c>
    </row>
    <row r="460" spans="1:9" x14ac:dyDescent="0.2">
      <c r="A460" s="2">
        <v>11</v>
      </c>
      <c r="B460" s="1" t="s">
        <v>153</v>
      </c>
      <c r="C460" s="4">
        <v>163</v>
      </c>
      <c r="D460" s="8">
        <v>1.64</v>
      </c>
      <c r="E460" s="4">
        <v>20</v>
      </c>
      <c r="F460" s="8">
        <v>0.37</v>
      </c>
      <c r="G460" s="4">
        <v>143</v>
      </c>
      <c r="H460" s="8">
        <v>3.13</v>
      </c>
      <c r="I460" s="4">
        <v>0</v>
      </c>
    </row>
    <row r="461" spans="1:9" x14ac:dyDescent="0.2">
      <c r="A461" s="2">
        <v>12</v>
      </c>
      <c r="B461" s="1" t="s">
        <v>193</v>
      </c>
      <c r="C461" s="4">
        <v>159</v>
      </c>
      <c r="D461" s="8">
        <v>1.6</v>
      </c>
      <c r="E461" s="4">
        <v>129</v>
      </c>
      <c r="F461" s="8">
        <v>2.41</v>
      </c>
      <c r="G461" s="4">
        <v>30</v>
      </c>
      <c r="H461" s="8">
        <v>0.66</v>
      </c>
      <c r="I461" s="4">
        <v>0</v>
      </c>
    </row>
    <row r="462" spans="1:9" x14ac:dyDescent="0.2">
      <c r="A462" s="2">
        <v>13</v>
      </c>
      <c r="B462" s="1" t="s">
        <v>154</v>
      </c>
      <c r="C462" s="4">
        <v>158</v>
      </c>
      <c r="D462" s="8">
        <v>1.59</v>
      </c>
      <c r="E462" s="4">
        <v>57</v>
      </c>
      <c r="F462" s="8">
        <v>1.07</v>
      </c>
      <c r="G462" s="4">
        <v>101</v>
      </c>
      <c r="H462" s="8">
        <v>2.21</v>
      </c>
      <c r="I462" s="4">
        <v>0</v>
      </c>
    </row>
    <row r="463" spans="1:9" x14ac:dyDescent="0.2">
      <c r="A463" s="2">
        <v>14</v>
      </c>
      <c r="B463" s="1" t="s">
        <v>158</v>
      </c>
      <c r="C463" s="4">
        <v>149</v>
      </c>
      <c r="D463" s="8">
        <v>1.5</v>
      </c>
      <c r="E463" s="4">
        <v>108</v>
      </c>
      <c r="F463" s="8">
        <v>2.02</v>
      </c>
      <c r="G463" s="4">
        <v>41</v>
      </c>
      <c r="H463" s="8">
        <v>0.9</v>
      </c>
      <c r="I463" s="4">
        <v>0</v>
      </c>
    </row>
    <row r="464" spans="1:9" x14ac:dyDescent="0.2">
      <c r="A464" s="2">
        <v>15</v>
      </c>
      <c r="B464" s="1" t="s">
        <v>160</v>
      </c>
      <c r="C464" s="4">
        <v>147</v>
      </c>
      <c r="D464" s="8">
        <v>1.48</v>
      </c>
      <c r="E464" s="4">
        <v>25</v>
      </c>
      <c r="F464" s="8">
        <v>0.47</v>
      </c>
      <c r="G464" s="4">
        <v>122</v>
      </c>
      <c r="H464" s="8">
        <v>2.67</v>
      </c>
      <c r="I464" s="4">
        <v>0</v>
      </c>
    </row>
    <row r="465" spans="1:9" x14ac:dyDescent="0.2">
      <c r="A465" s="2">
        <v>16</v>
      </c>
      <c r="B465" s="1" t="s">
        <v>155</v>
      </c>
      <c r="C465" s="4">
        <v>139</v>
      </c>
      <c r="D465" s="8">
        <v>1.4</v>
      </c>
      <c r="E465" s="4">
        <v>52</v>
      </c>
      <c r="F465" s="8">
        <v>0.97</v>
      </c>
      <c r="G465" s="4">
        <v>87</v>
      </c>
      <c r="H465" s="8">
        <v>1.91</v>
      </c>
      <c r="I465" s="4">
        <v>0</v>
      </c>
    </row>
    <row r="466" spans="1:9" x14ac:dyDescent="0.2">
      <c r="A466" s="2">
        <v>17</v>
      </c>
      <c r="B466" s="1" t="s">
        <v>166</v>
      </c>
      <c r="C466" s="4">
        <v>134</v>
      </c>
      <c r="D466" s="8">
        <v>1.35</v>
      </c>
      <c r="E466" s="4">
        <v>66</v>
      </c>
      <c r="F466" s="8">
        <v>1.24</v>
      </c>
      <c r="G466" s="4">
        <v>68</v>
      </c>
      <c r="H466" s="8">
        <v>1.49</v>
      </c>
      <c r="I466" s="4">
        <v>0</v>
      </c>
    </row>
    <row r="467" spans="1:9" x14ac:dyDescent="0.2">
      <c r="A467" s="2">
        <v>18</v>
      </c>
      <c r="B467" s="1" t="s">
        <v>205</v>
      </c>
      <c r="C467" s="4">
        <v>132</v>
      </c>
      <c r="D467" s="8">
        <v>1.33</v>
      </c>
      <c r="E467" s="4">
        <v>55</v>
      </c>
      <c r="F467" s="8">
        <v>1.03</v>
      </c>
      <c r="G467" s="4">
        <v>77</v>
      </c>
      <c r="H467" s="8">
        <v>1.69</v>
      </c>
      <c r="I467" s="4">
        <v>0</v>
      </c>
    </row>
    <row r="468" spans="1:9" x14ac:dyDescent="0.2">
      <c r="A468" s="2">
        <v>19</v>
      </c>
      <c r="B468" s="1" t="s">
        <v>157</v>
      </c>
      <c r="C468" s="4">
        <v>131</v>
      </c>
      <c r="D468" s="8">
        <v>1.32</v>
      </c>
      <c r="E468" s="4">
        <v>65</v>
      </c>
      <c r="F468" s="8">
        <v>1.22</v>
      </c>
      <c r="G468" s="4">
        <v>66</v>
      </c>
      <c r="H468" s="8">
        <v>1.45</v>
      </c>
      <c r="I468" s="4">
        <v>0</v>
      </c>
    </row>
    <row r="469" spans="1:9" x14ac:dyDescent="0.2">
      <c r="A469" s="2">
        <v>19</v>
      </c>
      <c r="B469" s="1" t="s">
        <v>188</v>
      </c>
      <c r="C469" s="4">
        <v>131</v>
      </c>
      <c r="D469" s="8">
        <v>1.32</v>
      </c>
      <c r="E469" s="4">
        <v>94</v>
      </c>
      <c r="F469" s="8">
        <v>1.76</v>
      </c>
      <c r="G469" s="4">
        <v>37</v>
      </c>
      <c r="H469" s="8">
        <v>0.81</v>
      </c>
      <c r="I469" s="4">
        <v>0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  <row r="471" spans="1:9" x14ac:dyDescent="0.2">
      <c r="A471" s="1" t="s">
        <v>21</v>
      </c>
      <c r="C471" s="4"/>
      <c r="D471" s="8"/>
      <c r="E471" s="4"/>
      <c r="F471" s="8"/>
      <c r="G471" s="4"/>
      <c r="H471" s="8"/>
      <c r="I471" s="4"/>
    </row>
    <row r="472" spans="1:9" x14ac:dyDescent="0.2">
      <c r="A472" s="2">
        <v>1</v>
      </c>
      <c r="B472" s="1" t="s">
        <v>207</v>
      </c>
      <c r="C472" s="4">
        <v>269</v>
      </c>
      <c r="D472" s="8">
        <v>9.93</v>
      </c>
      <c r="E472" s="4">
        <v>127</v>
      </c>
      <c r="F472" s="8">
        <v>10.28</v>
      </c>
      <c r="G472" s="4">
        <v>142</v>
      </c>
      <c r="H472" s="8">
        <v>9.77</v>
      </c>
      <c r="I472" s="4">
        <v>0</v>
      </c>
    </row>
    <row r="473" spans="1:9" x14ac:dyDescent="0.2">
      <c r="A473" s="2">
        <v>2</v>
      </c>
      <c r="B473" s="1" t="s">
        <v>168</v>
      </c>
      <c r="C473" s="4">
        <v>87</v>
      </c>
      <c r="D473" s="8">
        <v>3.21</v>
      </c>
      <c r="E473" s="4">
        <v>74</v>
      </c>
      <c r="F473" s="8">
        <v>5.99</v>
      </c>
      <c r="G473" s="4">
        <v>13</v>
      </c>
      <c r="H473" s="8">
        <v>0.89</v>
      </c>
      <c r="I473" s="4">
        <v>0</v>
      </c>
    </row>
    <row r="474" spans="1:9" x14ac:dyDescent="0.2">
      <c r="A474" s="2">
        <v>3</v>
      </c>
      <c r="B474" s="1" t="s">
        <v>161</v>
      </c>
      <c r="C474" s="4">
        <v>77</v>
      </c>
      <c r="D474" s="8">
        <v>2.84</v>
      </c>
      <c r="E474" s="4">
        <v>29</v>
      </c>
      <c r="F474" s="8">
        <v>2.35</v>
      </c>
      <c r="G474" s="4">
        <v>48</v>
      </c>
      <c r="H474" s="8">
        <v>3.3</v>
      </c>
      <c r="I474" s="4">
        <v>0</v>
      </c>
    </row>
    <row r="475" spans="1:9" x14ac:dyDescent="0.2">
      <c r="A475" s="2">
        <v>4</v>
      </c>
      <c r="B475" s="1" t="s">
        <v>167</v>
      </c>
      <c r="C475" s="4">
        <v>70</v>
      </c>
      <c r="D475" s="8">
        <v>2.58</v>
      </c>
      <c r="E475" s="4">
        <v>67</v>
      </c>
      <c r="F475" s="8">
        <v>5.42</v>
      </c>
      <c r="G475" s="4">
        <v>3</v>
      </c>
      <c r="H475" s="8">
        <v>0.21</v>
      </c>
      <c r="I475" s="4">
        <v>0</v>
      </c>
    </row>
    <row r="476" spans="1:9" x14ac:dyDescent="0.2">
      <c r="A476" s="2">
        <v>5</v>
      </c>
      <c r="B476" s="1" t="s">
        <v>165</v>
      </c>
      <c r="C476" s="4">
        <v>69</v>
      </c>
      <c r="D476" s="8">
        <v>2.5499999999999998</v>
      </c>
      <c r="E476" s="4">
        <v>63</v>
      </c>
      <c r="F476" s="8">
        <v>5.0999999999999996</v>
      </c>
      <c r="G476" s="4">
        <v>6</v>
      </c>
      <c r="H476" s="8">
        <v>0.41</v>
      </c>
      <c r="I476" s="4">
        <v>0</v>
      </c>
    </row>
    <row r="477" spans="1:9" x14ac:dyDescent="0.2">
      <c r="A477" s="2">
        <v>6</v>
      </c>
      <c r="B477" s="1" t="s">
        <v>209</v>
      </c>
      <c r="C477" s="4">
        <v>68</v>
      </c>
      <c r="D477" s="8">
        <v>2.5099999999999998</v>
      </c>
      <c r="E477" s="4">
        <v>20</v>
      </c>
      <c r="F477" s="8">
        <v>1.62</v>
      </c>
      <c r="G477" s="4">
        <v>48</v>
      </c>
      <c r="H477" s="8">
        <v>3.3</v>
      </c>
      <c r="I477" s="4">
        <v>0</v>
      </c>
    </row>
    <row r="478" spans="1:9" x14ac:dyDescent="0.2">
      <c r="A478" s="2">
        <v>7</v>
      </c>
      <c r="B478" s="1" t="s">
        <v>152</v>
      </c>
      <c r="C478" s="4">
        <v>59</v>
      </c>
      <c r="D478" s="8">
        <v>2.1800000000000002</v>
      </c>
      <c r="E478" s="4">
        <v>6</v>
      </c>
      <c r="F478" s="8">
        <v>0.49</v>
      </c>
      <c r="G478" s="4">
        <v>53</v>
      </c>
      <c r="H478" s="8">
        <v>3.65</v>
      </c>
      <c r="I478" s="4">
        <v>0</v>
      </c>
    </row>
    <row r="479" spans="1:9" x14ac:dyDescent="0.2">
      <c r="A479" s="2">
        <v>8</v>
      </c>
      <c r="B479" s="1" t="s">
        <v>156</v>
      </c>
      <c r="C479" s="4">
        <v>53</v>
      </c>
      <c r="D479" s="8">
        <v>1.96</v>
      </c>
      <c r="E479" s="4">
        <v>20</v>
      </c>
      <c r="F479" s="8">
        <v>1.62</v>
      </c>
      <c r="G479" s="4">
        <v>33</v>
      </c>
      <c r="H479" s="8">
        <v>2.27</v>
      </c>
      <c r="I479" s="4">
        <v>0</v>
      </c>
    </row>
    <row r="480" spans="1:9" x14ac:dyDescent="0.2">
      <c r="A480" s="2">
        <v>8</v>
      </c>
      <c r="B480" s="1" t="s">
        <v>170</v>
      </c>
      <c r="C480" s="4">
        <v>53</v>
      </c>
      <c r="D480" s="8">
        <v>1.96</v>
      </c>
      <c r="E480" s="4">
        <v>44</v>
      </c>
      <c r="F480" s="8">
        <v>3.56</v>
      </c>
      <c r="G480" s="4">
        <v>9</v>
      </c>
      <c r="H480" s="8">
        <v>0.62</v>
      </c>
      <c r="I480" s="4">
        <v>0</v>
      </c>
    </row>
    <row r="481" spans="1:9" x14ac:dyDescent="0.2">
      <c r="A481" s="2">
        <v>10</v>
      </c>
      <c r="B481" s="1" t="s">
        <v>154</v>
      </c>
      <c r="C481" s="4">
        <v>46</v>
      </c>
      <c r="D481" s="8">
        <v>1.7</v>
      </c>
      <c r="E481" s="4">
        <v>12</v>
      </c>
      <c r="F481" s="8">
        <v>0.97</v>
      </c>
      <c r="G481" s="4">
        <v>34</v>
      </c>
      <c r="H481" s="8">
        <v>2.34</v>
      </c>
      <c r="I481" s="4">
        <v>0</v>
      </c>
    </row>
    <row r="482" spans="1:9" x14ac:dyDescent="0.2">
      <c r="A482" s="2">
        <v>10</v>
      </c>
      <c r="B482" s="1" t="s">
        <v>171</v>
      </c>
      <c r="C482" s="4">
        <v>46</v>
      </c>
      <c r="D482" s="8">
        <v>1.7</v>
      </c>
      <c r="E482" s="4">
        <v>42</v>
      </c>
      <c r="F482" s="8">
        <v>3.4</v>
      </c>
      <c r="G482" s="4">
        <v>4</v>
      </c>
      <c r="H482" s="8">
        <v>0.28000000000000003</v>
      </c>
      <c r="I482" s="4">
        <v>0</v>
      </c>
    </row>
    <row r="483" spans="1:9" x14ac:dyDescent="0.2">
      <c r="A483" s="2">
        <v>12</v>
      </c>
      <c r="B483" s="1" t="s">
        <v>208</v>
      </c>
      <c r="C483" s="4">
        <v>44</v>
      </c>
      <c r="D483" s="8">
        <v>1.62</v>
      </c>
      <c r="E483" s="4">
        <v>27</v>
      </c>
      <c r="F483" s="8">
        <v>2.1800000000000002</v>
      </c>
      <c r="G483" s="4">
        <v>17</v>
      </c>
      <c r="H483" s="8">
        <v>1.17</v>
      </c>
      <c r="I483" s="4">
        <v>0</v>
      </c>
    </row>
    <row r="484" spans="1:9" x14ac:dyDescent="0.2">
      <c r="A484" s="2">
        <v>13</v>
      </c>
      <c r="B484" s="1" t="s">
        <v>163</v>
      </c>
      <c r="C484" s="4">
        <v>41</v>
      </c>
      <c r="D484" s="8">
        <v>1.51</v>
      </c>
      <c r="E484" s="4">
        <v>33</v>
      </c>
      <c r="F484" s="8">
        <v>2.67</v>
      </c>
      <c r="G484" s="4">
        <v>8</v>
      </c>
      <c r="H484" s="8">
        <v>0.55000000000000004</v>
      </c>
      <c r="I484" s="4">
        <v>0</v>
      </c>
    </row>
    <row r="485" spans="1:9" x14ac:dyDescent="0.2">
      <c r="A485" s="2">
        <v>14</v>
      </c>
      <c r="B485" s="1" t="s">
        <v>158</v>
      </c>
      <c r="C485" s="4">
        <v>40</v>
      </c>
      <c r="D485" s="8">
        <v>1.48</v>
      </c>
      <c r="E485" s="4">
        <v>24</v>
      </c>
      <c r="F485" s="8">
        <v>1.94</v>
      </c>
      <c r="G485" s="4">
        <v>16</v>
      </c>
      <c r="H485" s="8">
        <v>1.1000000000000001</v>
      </c>
      <c r="I485" s="4">
        <v>0</v>
      </c>
    </row>
    <row r="486" spans="1:9" x14ac:dyDescent="0.2">
      <c r="A486" s="2">
        <v>14</v>
      </c>
      <c r="B486" s="1" t="s">
        <v>162</v>
      </c>
      <c r="C486" s="4">
        <v>40</v>
      </c>
      <c r="D486" s="8">
        <v>1.48</v>
      </c>
      <c r="E486" s="4">
        <v>18</v>
      </c>
      <c r="F486" s="8">
        <v>1.46</v>
      </c>
      <c r="G486" s="4">
        <v>22</v>
      </c>
      <c r="H486" s="8">
        <v>1.51</v>
      </c>
      <c r="I486" s="4">
        <v>0</v>
      </c>
    </row>
    <row r="487" spans="1:9" x14ac:dyDescent="0.2">
      <c r="A487" s="2">
        <v>16</v>
      </c>
      <c r="B487" s="1" t="s">
        <v>155</v>
      </c>
      <c r="C487" s="4">
        <v>34</v>
      </c>
      <c r="D487" s="8">
        <v>1.25</v>
      </c>
      <c r="E487" s="4">
        <v>12</v>
      </c>
      <c r="F487" s="8">
        <v>0.97</v>
      </c>
      <c r="G487" s="4">
        <v>22</v>
      </c>
      <c r="H487" s="8">
        <v>1.51</v>
      </c>
      <c r="I487" s="4">
        <v>0</v>
      </c>
    </row>
    <row r="488" spans="1:9" x14ac:dyDescent="0.2">
      <c r="A488" s="2">
        <v>16</v>
      </c>
      <c r="B488" s="1" t="s">
        <v>186</v>
      </c>
      <c r="C488" s="4">
        <v>34</v>
      </c>
      <c r="D488" s="8">
        <v>1.25</v>
      </c>
      <c r="E488" s="4">
        <v>23</v>
      </c>
      <c r="F488" s="8">
        <v>1.86</v>
      </c>
      <c r="G488" s="4">
        <v>11</v>
      </c>
      <c r="H488" s="8">
        <v>0.76</v>
      </c>
      <c r="I488" s="4">
        <v>0</v>
      </c>
    </row>
    <row r="489" spans="1:9" x14ac:dyDescent="0.2">
      <c r="A489" s="2">
        <v>16</v>
      </c>
      <c r="B489" s="1" t="s">
        <v>157</v>
      </c>
      <c r="C489" s="4">
        <v>34</v>
      </c>
      <c r="D489" s="8">
        <v>1.25</v>
      </c>
      <c r="E489" s="4">
        <v>16</v>
      </c>
      <c r="F489" s="8">
        <v>1.29</v>
      </c>
      <c r="G489" s="4">
        <v>18</v>
      </c>
      <c r="H489" s="8">
        <v>1.24</v>
      </c>
      <c r="I489" s="4">
        <v>0</v>
      </c>
    </row>
    <row r="490" spans="1:9" x14ac:dyDescent="0.2">
      <c r="A490" s="2">
        <v>19</v>
      </c>
      <c r="B490" s="1" t="s">
        <v>164</v>
      </c>
      <c r="C490" s="4">
        <v>32</v>
      </c>
      <c r="D490" s="8">
        <v>1.18</v>
      </c>
      <c r="E490" s="4">
        <v>31</v>
      </c>
      <c r="F490" s="8">
        <v>2.5099999999999998</v>
      </c>
      <c r="G490" s="4">
        <v>1</v>
      </c>
      <c r="H490" s="8">
        <v>7.0000000000000007E-2</v>
      </c>
      <c r="I490" s="4">
        <v>0</v>
      </c>
    </row>
    <row r="491" spans="1:9" x14ac:dyDescent="0.2">
      <c r="A491" s="2">
        <v>19</v>
      </c>
      <c r="B491" s="1" t="s">
        <v>188</v>
      </c>
      <c r="C491" s="4">
        <v>32</v>
      </c>
      <c r="D491" s="8">
        <v>1.18</v>
      </c>
      <c r="E491" s="4">
        <v>23</v>
      </c>
      <c r="F491" s="8">
        <v>1.86</v>
      </c>
      <c r="G491" s="4">
        <v>9</v>
      </c>
      <c r="H491" s="8">
        <v>0.62</v>
      </c>
      <c r="I491" s="4">
        <v>0</v>
      </c>
    </row>
    <row r="492" spans="1:9" x14ac:dyDescent="0.2">
      <c r="A492" s="1"/>
      <c r="C492" s="4"/>
      <c r="D492" s="8"/>
      <c r="E492" s="4"/>
      <c r="F492" s="8"/>
      <c r="G492" s="4"/>
      <c r="H492" s="8"/>
      <c r="I492" s="4"/>
    </row>
    <row r="493" spans="1:9" x14ac:dyDescent="0.2">
      <c r="A493" s="1" t="s">
        <v>22</v>
      </c>
      <c r="C493" s="4"/>
      <c r="D493" s="8"/>
      <c r="E493" s="4"/>
      <c r="F493" s="8"/>
      <c r="G493" s="4"/>
      <c r="H493" s="8"/>
      <c r="I493" s="4"/>
    </row>
    <row r="494" spans="1:9" x14ac:dyDescent="0.2">
      <c r="A494" s="2">
        <v>1</v>
      </c>
      <c r="B494" s="1" t="s">
        <v>168</v>
      </c>
      <c r="C494" s="4">
        <v>129</v>
      </c>
      <c r="D494" s="8">
        <v>4.8899999999999997</v>
      </c>
      <c r="E494" s="4">
        <v>113</v>
      </c>
      <c r="F494" s="8">
        <v>8.2799999999999994</v>
      </c>
      <c r="G494" s="4">
        <v>16</v>
      </c>
      <c r="H494" s="8">
        <v>1.27</v>
      </c>
      <c r="I494" s="4">
        <v>0</v>
      </c>
    </row>
    <row r="495" spans="1:9" x14ac:dyDescent="0.2">
      <c r="A495" s="2">
        <v>2</v>
      </c>
      <c r="B495" s="1" t="s">
        <v>163</v>
      </c>
      <c r="C495" s="4">
        <v>100</v>
      </c>
      <c r="D495" s="8">
        <v>3.79</v>
      </c>
      <c r="E495" s="4">
        <v>79</v>
      </c>
      <c r="F495" s="8">
        <v>5.79</v>
      </c>
      <c r="G495" s="4">
        <v>21</v>
      </c>
      <c r="H495" s="8">
        <v>1.67</v>
      </c>
      <c r="I495" s="4">
        <v>0</v>
      </c>
    </row>
    <row r="496" spans="1:9" x14ac:dyDescent="0.2">
      <c r="A496" s="2">
        <v>3</v>
      </c>
      <c r="B496" s="1" t="s">
        <v>170</v>
      </c>
      <c r="C496" s="4">
        <v>88</v>
      </c>
      <c r="D496" s="8">
        <v>3.34</v>
      </c>
      <c r="E496" s="4">
        <v>71</v>
      </c>
      <c r="F496" s="8">
        <v>5.2</v>
      </c>
      <c r="G496" s="4">
        <v>17</v>
      </c>
      <c r="H496" s="8">
        <v>1.35</v>
      </c>
      <c r="I496" s="4">
        <v>0</v>
      </c>
    </row>
    <row r="497" spans="1:9" x14ac:dyDescent="0.2">
      <c r="A497" s="2">
        <v>4</v>
      </c>
      <c r="B497" s="1" t="s">
        <v>161</v>
      </c>
      <c r="C497" s="4">
        <v>87</v>
      </c>
      <c r="D497" s="8">
        <v>3.3</v>
      </c>
      <c r="E497" s="4">
        <v>32</v>
      </c>
      <c r="F497" s="8">
        <v>2.34</v>
      </c>
      <c r="G497" s="4">
        <v>55</v>
      </c>
      <c r="H497" s="8">
        <v>4.37</v>
      </c>
      <c r="I497" s="4">
        <v>0</v>
      </c>
    </row>
    <row r="498" spans="1:9" x14ac:dyDescent="0.2">
      <c r="A498" s="2">
        <v>5</v>
      </c>
      <c r="B498" s="1" t="s">
        <v>171</v>
      </c>
      <c r="C498" s="4">
        <v>86</v>
      </c>
      <c r="D498" s="8">
        <v>3.26</v>
      </c>
      <c r="E498" s="4">
        <v>75</v>
      </c>
      <c r="F498" s="8">
        <v>5.49</v>
      </c>
      <c r="G498" s="4">
        <v>11</v>
      </c>
      <c r="H498" s="8">
        <v>0.87</v>
      </c>
      <c r="I498" s="4">
        <v>0</v>
      </c>
    </row>
    <row r="499" spans="1:9" x14ac:dyDescent="0.2">
      <c r="A499" s="2">
        <v>6</v>
      </c>
      <c r="B499" s="1" t="s">
        <v>164</v>
      </c>
      <c r="C499" s="4">
        <v>74</v>
      </c>
      <c r="D499" s="8">
        <v>2.81</v>
      </c>
      <c r="E499" s="4">
        <v>70</v>
      </c>
      <c r="F499" s="8">
        <v>5.13</v>
      </c>
      <c r="G499" s="4">
        <v>4</v>
      </c>
      <c r="H499" s="8">
        <v>0.32</v>
      </c>
      <c r="I499" s="4">
        <v>0</v>
      </c>
    </row>
    <row r="500" spans="1:9" x14ac:dyDescent="0.2">
      <c r="A500" s="2">
        <v>7</v>
      </c>
      <c r="B500" s="1" t="s">
        <v>167</v>
      </c>
      <c r="C500" s="4">
        <v>72</v>
      </c>
      <c r="D500" s="8">
        <v>2.73</v>
      </c>
      <c r="E500" s="4">
        <v>69</v>
      </c>
      <c r="F500" s="8">
        <v>5.05</v>
      </c>
      <c r="G500" s="4">
        <v>3</v>
      </c>
      <c r="H500" s="8">
        <v>0.24</v>
      </c>
      <c r="I500" s="4">
        <v>0</v>
      </c>
    </row>
    <row r="501" spans="1:9" x14ac:dyDescent="0.2">
      <c r="A501" s="2">
        <v>8</v>
      </c>
      <c r="B501" s="1" t="s">
        <v>156</v>
      </c>
      <c r="C501" s="4">
        <v>62</v>
      </c>
      <c r="D501" s="8">
        <v>2.35</v>
      </c>
      <c r="E501" s="4">
        <v>33</v>
      </c>
      <c r="F501" s="8">
        <v>2.42</v>
      </c>
      <c r="G501" s="4">
        <v>29</v>
      </c>
      <c r="H501" s="8">
        <v>2.2999999999999998</v>
      </c>
      <c r="I501" s="4">
        <v>0</v>
      </c>
    </row>
    <row r="502" spans="1:9" x14ac:dyDescent="0.2">
      <c r="A502" s="2">
        <v>9</v>
      </c>
      <c r="B502" s="1" t="s">
        <v>165</v>
      </c>
      <c r="C502" s="4">
        <v>55</v>
      </c>
      <c r="D502" s="8">
        <v>2.08</v>
      </c>
      <c r="E502" s="4">
        <v>45</v>
      </c>
      <c r="F502" s="8">
        <v>3.3</v>
      </c>
      <c r="G502" s="4">
        <v>10</v>
      </c>
      <c r="H502" s="8">
        <v>0.79</v>
      </c>
      <c r="I502" s="4">
        <v>0</v>
      </c>
    </row>
    <row r="503" spans="1:9" x14ac:dyDescent="0.2">
      <c r="A503" s="2">
        <v>10</v>
      </c>
      <c r="B503" s="1" t="s">
        <v>154</v>
      </c>
      <c r="C503" s="4">
        <v>53</v>
      </c>
      <c r="D503" s="8">
        <v>2.0099999999999998</v>
      </c>
      <c r="E503" s="4">
        <v>12</v>
      </c>
      <c r="F503" s="8">
        <v>0.88</v>
      </c>
      <c r="G503" s="4">
        <v>41</v>
      </c>
      <c r="H503" s="8">
        <v>3.25</v>
      </c>
      <c r="I503" s="4">
        <v>0</v>
      </c>
    </row>
    <row r="504" spans="1:9" x14ac:dyDescent="0.2">
      <c r="A504" s="2">
        <v>11</v>
      </c>
      <c r="B504" s="1" t="s">
        <v>152</v>
      </c>
      <c r="C504" s="4">
        <v>44</v>
      </c>
      <c r="D504" s="8">
        <v>1.67</v>
      </c>
      <c r="E504" s="4">
        <v>7</v>
      </c>
      <c r="F504" s="8">
        <v>0.51</v>
      </c>
      <c r="G504" s="4">
        <v>37</v>
      </c>
      <c r="H504" s="8">
        <v>2.94</v>
      </c>
      <c r="I504" s="4">
        <v>0</v>
      </c>
    </row>
    <row r="505" spans="1:9" x14ac:dyDescent="0.2">
      <c r="A505" s="2">
        <v>11</v>
      </c>
      <c r="B505" s="1" t="s">
        <v>160</v>
      </c>
      <c r="C505" s="4">
        <v>44</v>
      </c>
      <c r="D505" s="8">
        <v>1.67</v>
      </c>
      <c r="E505" s="4">
        <v>5</v>
      </c>
      <c r="F505" s="8">
        <v>0.37</v>
      </c>
      <c r="G505" s="4">
        <v>39</v>
      </c>
      <c r="H505" s="8">
        <v>3.1</v>
      </c>
      <c r="I505" s="4">
        <v>0</v>
      </c>
    </row>
    <row r="506" spans="1:9" x14ac:dyDescent="0.2">
      <c r="A506" s="2">
        <v>13</v>
      </c>
      <c r="B506" s="1" t="s">
        <v>155</v>
      </c>
      <c r="C506" s="4">
        <v>43</v>
      </c>
      <c r="D506" s="8">
        <v>1.63</v>
      </c>
      <c r="E506" s="4">
        <v>12</v>
      </c>
      <c r="F506" s="8">
        <v>0.88</v>
      </c>
      <c r="G506" s="4">
        <v>31</v>
      </c>
      <c r="H506" s="8">
        <v>2.46</v>
      </c>
      <c r="I506" s="4">
        <v>0</v>
      </c>
    </row>
    <row r="507" spans="1:9" x14ac:dyDescent="0.2">
      <c r="A507" s="2">
        <v>14</v>
      </c>
      <c r="B507" s="1" t="s">
        <v>176</v>
      </c>
      <c r="C507" s="4">
        <v>42</v>
      </c>
      <c r="D507" s="8">
        <v>1.59</v>
      </c>
      <c r="E507" s="4">
        <v>40</v>
      </c>
      <c r="F507" s="8">
        <v>2.93</v>
      </c>
      <c r="G507" s="4">
        <v>2</v>
      </c>
      <c r="H507" s="8">
        <v>0.16</v>
      </c>
      <c r="I507" s="4">
        <v>0</v>
      </c>
    </row>
    <row r="508" spans="1:9" x14ac:dyDescent="0.2">
      <c r="A508" s="2">
        <v>14</v>
      </c>
      <c r="B508" s="1" t="s">
        <v>169</v>
      </c>
      <c r="C508" s="4">
        <v>42</v>
      </c>
      <c r="D508" s="8">
        <v>1.59</v>
      </c>
      <c r="E508" s="4">
        <v>30</v>
      </c>
      <c r="F508" s="8">
        <v>2.2000000000000002</v>
      </c>
      <c r="G508" s="4">
        <v>12</v>
      </c>
      <c r="H508" s="8">
        <v>0.95</v>
      </c>
      <c r="I508" s="4">
        <v>0</v>
      </c>
    </row>
    <row r="509" spans="1:9" x14ac:dyDescent="0.2">
      <c r="A509" s="2">
        <v>16</v>
      </c>
      <c r="B509" s="1" t="s">
        <v>153</v>
      </c>
      <c r="C509" s="4">
        <v>39</v>
      </c>
      <c r="D509" s="8">
        <v>1.48</v>
      </c>
      <c r="E509" s="4">
        <v>8</v>
      </c>
      <c r="F509" s="8">
        <v>0.59</v>
      </c>
      <c r="G509" s="4">
        <v>31</v>
      </c>
      <c r="H509" s="8">
        <v>2.46</v>
      </c>
      <c r="I509" s="4">
        <v>0</v>
      </c>
    </row>
    <row r="510" spans="1:9" x14ac:dyDescent="0.2">
      <c r="A510" s="2">
        <v>16</v>
      </c>
      <c r="B510" s="1" t="s">
        <v>158</v>
      </c>
      <c r="C510" s="4">
        <v>39</v>
      </c>
      <c r="D510" s="8">
        <v>1.48</v>
      </c>
      <c r="E510" s="4">
        <v>24</v>
      </c>
      <c r="F510" s="8">
        <v>1.76</v>
      </c>
      <c r="G510" s="4">
        <v>15</v>
      </c>
      <c r="H510" s="8">
        <v>1.19</v>
      </c>
      <c r="I510" s="4">
        <v>0</v>
      </c>
    </row>
    <row r="511" spans="1:9" x14ac:dyDescent="0.2">
      <c r="A511" s="2">
        <v>18</v>
      </c>
      <c r="B511" s="1" t="s">
        <v>196</v>
      </c>
      <c r="C511" s="4">
        <v>37</v>
      </c>
      <c r="D511" s="8">
        <v>1.4</v>
      </c>
      <c r="E511" s="4">
        <v>8</v>
      </c>
      <c r="F511" s="8">
        <v>0.59</v>
      </c>
      <c r="G511" s="4">
        <v>29</v>
      </c>
      <c r="H511" s="8">
        <v>2.2999999999999998</v>
      </c>
      <c r="I511" s="4">
        <v>0</v>
      </c>
    </row>
    <row r="512" spans="1:9" x14ac:dyDescent="0.2">
      <c r="A512" s="2">
        <v>19</v>
      </c>
      <c r="B512" s="1" t="s">
        <v>205</v>
      </c>
      <c r="C512" s="4">
        <v>36</v>
      </c>
      <c r="D512" s="8">
        <v>1.36</v>
      </c>
      <c r="E512" s="4">
        <v>8</v>
      </c>
      <c r="F512" s="8">
        <v>0.59</v>
      </c>
      <c r="G512" s="4">
        <v>28</v>
      </c>
      <c r="H512" s="8">
        <v>2.2200000000000002</v>
      </c>
      <c r="I512" s="4">
        <v>0</v>
      </c>
    </row>
    <row r="513" spans="1:9" x14ac:dyDescent="0.2">
      <c r="A513" s="2">
        <v>20</v>
      </c>
      <c r="B513" s="1" t="s">
        <v>179</v>
      </c>
      <c r="C513" s="4">
        <v>35</v>
      </c>
      <c r="D513" s="8">
        <v>1.33</v>
      </c>
      <c r="E513" s="4">
        <v>26</v>
      </c>
      <c r="F513" s="8">
        <v>1.9</v>
      </c>
      <c r="G513" s="4">
        <v>9</v>
      </c>
      <c r="H513" s="8">
        <v>0.71</v>
      </c>
      <c r="I513" s="4">
        <v>0</v>
      </c>
    </row>
    <row r="514" spans="1:9" x14ac:dyDescent="0.2">
      <c r="A514" s="1"/>
      <c r="C514" s="4"/>
      <c r="D514" s="8"/>
      <c r="E514" s="4"/>
      <c r="F514" s="8"/>
      <c r="G514" s="4"/>
      <c r="H514" s="8"/>
      <c r="I514" s="4"/>
    </row>
    <row r="515" spans="1:9" x14ac:dyDescent="0.2">
      <c r="A515" s="1" t="s">
        <v>23</v>
      </c>
      <c r="C515" s="4"/>
      <c r="D515" s="8"/>
      <c r="E515" s="4"/>
      <c r="F515" s="8"/>
      <c r="G515" s="4"/>
      <c r="H515" s="8"/>
      <c r="I515" s="4"/>
    </row>
    <row r="516" spans="1:9" x14ac:dyDescent="0.2">
      <c r="A516" s="2">
        <v>1</v>
      </c>
      <c r="B516" s="1" t="s">
        <v>168</v>
      </c>
      <c r="C516" s="4">
        <v>257</v>
      </c>
      <c r="D516" s="8">
        <v>4.5999999999999996</v>
      </c>
      <c r="E516" s="4">
        <v>212</v>
      </c>
      <c r="F516" s="8">
        <v>8.7200000000000006</v>
      </c>
      <c r="G516" s="4">
        <v>45</v>
      </c>
      <c r="H516" s="8">
        <v>1.43</v>
      </c>
      <c r="I516" s="4">
        <v>0</v>
      </c>
    </row>
    <row r="517" spans="1:9" x14ac:dyDescent="0.2">
      <c r="A517" s="2">
        <v>2</v>
      </c>
      <c r="B517" s="1" t="s">
        <v>170</v>
      </c>
      <c r="C517" s="4">
        <v>199</v>
      </c>
      <c r="D517" s="8">
        <v>3.56</v>
      </c>
      <c r="E517" s="4">
        <v>161</v>
      </c>
      <c r="F517" s="8">
        <v>6.62</v>
      </c>
      <c r="G517" s="4">
        <v>38</v>
      </c>
      <c r="H517" s="8">
        <v>1.2</v>
      </c>
      <c r="I517" s="4">
        <v>0</v>
      </c>
    </row>
    <row r="518" spans="1:9" x14ac:dyDescent="0.2">
      <c r="A518" s="2">
        <v>3</v>
      </c>
      <c r="B518" s="1" t="s">
        <v>165</v>
      </c>
      <c r="C518" s="4">
        <v>176</v>
      </c>
      <c r="D518" s="8">
        <v>3.15</v>
      </c>
      <c r="E518" s="4">
        <v>155</v>
      </c>
      <c r="F518" s="8">
        <v>6.37</v>
      </c>
      <c r="G518" s="4">
        <v>21</v>
      </c>
      <c r="H518" s="8">
        <v>0.67</v>
      </c>
      <c r="I518" s="4">
        <v>0</v>
      </c>
    </row>
    <row r="519" spans="1:9" x14ac:dyDescent="0.2">
      <c r="A519" s="2">
        <v>4</v>
      </c>
      <c r="B519" s="1" t="s">
        <v>167</v>
      </c>
      <c r="C519" s="4">
        <v>171</v>
      </c>
      <c r="D519" s="8">
        <v>3.06</v>
      </c>
      <c r="E519" s="4">
        <v>161</v>
      </c>
      <c r="F519" s="8">
        <v>6.62</v>
      </c>
      <c r="G519" s="4">
        <v>10</v>
      </c>
      <c r="H519" s="8">
        <v>0.32</v>
      </c>
      <c r="I519" s="4">
        <v>0</v>
      </c>
    </row>
    <row r="520" spans="1:9" x14ac:dyDescent="0.2">
      <c r="A520" s="2">
        <v>5</v>
      </c>
      <c r="B520" s="1" t="s">
        <v>161</v>
      </c>
      <c r="C520" s="4">
        <v>152</v>
      </c>
      <c r="D520" s="8">
        <v>2.72</v>
      </c>
      <c r="E520" s="4">
        <v>63</v>
      </c>
      <c r="F520" s="8">
        <v>2.59</v>
      </c>
      <c r="G520" s="4">
        <v>88</v>
      </c>
      <c r="H520" s="8">
        <v>2.79</v>
      </c>
      <c r="I520" s="4">
        <v>0</v>
      </c>
    </row>
    <row r="521" spans="1:9" x14ac:dyDescent="0.2">
      <c r="A521" s="2">
        <v>6</v>
      </c>
      <c r="B521" s="1" t="s">
        <v>171</v>
      </c>
      <c r="C521" s="4">
        <v>150</v>
      </c>
      <c r="D521" s="8">
        <v>2.68</v>
      </c>
      <c r="E521" s="4">
        <v>130</v>
      </c>
      <c r="F521" s="8">
        <v>5.35</v>
      </c>
      <c r="G521" s="4">
        <v>20</v>
      </c>
      <c r="H521" s="8">
        <v>0.63</v>
      </c>
      <c r="I521" s="4">
        <v>0</v>
      </c>
    </row>
    <row r="522" spans="1:9" x14ac:dyDescent="0.2">
      <c r="A522" s="2">
        <v>7</v>
      </c>
      <c r="B522" s="1" t="s">
        <v>164</v>
      </c>
      <c r="C522" s="4">
        <v>144</v>
      </c>
      <c r="D522" s="8">
        <v>2.58</v>
      </c>
      <c r="E522" s="4">
        <v>128</v>
      </c>
      <c r="F522" s="8">
        <v>5.26</v>
      </c>
      <c r="G522" s="4">
        <v>16</v>
      </c>
      <c r="H522" s="8">
        <v>0.51</v>
      </c>
      <c r="I522" s="4">
        <v>0</v>
      </c>
    </row>
    <row r="523" spans="1:9" x14ac:dyDescent="0.2">
      <c r="A523" s="2">
        <v>8</v>
      </c>
      <c r="B523" s="1" t="s">
        <v>156</v>
      </c>
      <c r="C523" s="4">
        <v>136</v>
      </c>
      <c r="D523" s="8">
        <v>2.4300000000000002</v>
      </c>
      <c r="E523" s="4">
        <v>53</v>
      </c>
      <c r="F523" s="8">
        <v>2.1800000000000002</v>
      </c>
      <c r="G523" s="4">
        <v>83</v>
      </c>
      <c r="H523" s="8">
        <v>2.63</v>
      </c>
      <c r="I523" s="4">
        <v>0</v>
      </c>
    </row>
    <row r="524" spans="1:9" x14ac:dyDescent="0.2">
      <c r="A524" s="2">
        <v>8</v>
      </c>
      <c r="B524" s="1" t="s">
        <v>163</v>
      </c>
      <c r="C524" s="4">
        <v>136</v>
      </c>
      <c r="D524" s="8">
        <v>2.4300000000000002</v>
      </c>
      <c r="E524" s="4">
        <v>93</v>
      </c>
      <c r="F524" s="8">
        <v>3.82</v>
      </c>
      <c r="G524" s="4">
        <v>43</v>
      </c>
      <c r="H524" s="8">
        <v>1.36</v>
      </c>
      <c r="I524" s="4">
        <v>0</v>
      </c>
    </row>
    <row r="525" spans="1:9" x14ac:dyDescent="0.2">
      <c r="A525" s="2">
        <v>10</v>
      </c>
      <c r="B525" s="1" t="s">
        <v>154</v>
      </c>
      <c r="C525" s="4">
        <v>115</v>
      </c>
      <c r="D525" s="8">
        <v>2.06</v>
      </c>
      <c r="E525" s="4">
        <v>24</v>
      </c>
      <c r="F525" s="8">
        <v>0.99</v>
      </c>
      <c r="G525" s="4">
        <v>91</v>
      </c>
      <c r="H525" s="8">
        <v>2.89</v>
      </c>
      <c r="I525" s="4">
        <v>0</v>
      </c>
    </row>
    <row r="526" spans="1:9" x14ac:dyDescent="0.2">
      <c r="A526" s="2">
        <v>11</v>
      </c>
      <c r="B526" s="1" t="s">
        <v>155</v>
      </c>
      <c r="C526" s="4">
        <v>98</v>
      </c>
      <c r="D526" s="8">
        <v>1.75</v>
      </c>
      <c r="E526" s="4">
        <v>16</v>
      </c>
      <c r="F526" s="8">
        <v>0.66</v>
      </c>
      <c r="G526" s="4">
        <v>82</v>
      </c>
      <c r="H526" s="8">
        <v>2.6</v>
      </c>
      <c r="I526" s="4">
        <v>0</v>
      </c>
    </row>
    <row r="527" spans="1:9" x14ac:dyDescent="0.2">
      <c r="A527" s="2">
        <v>12</v>
      </c>
      <c r="B527" s="1" t="s">
        <v>153</v>
      </c>
      <c r="C527" s="4">
        <v>96</v>
      </c>
      <c r="D527" s="8">
        <v>1.72</v>
      </c>
      <c r="E527" s="4">
        <v>5</v>
      </c>
      <c r="F527" s="8">
        <v>0.21</v>
      </c>
      <c r="G527" s="4">
        <v>91</v>
      </c>
      <c r="H527" s="8">
        <v>2.89</v>
      </c>
      <c r="I527" s="4">
        <v>0</v>
      </c>
    </row>
    <row r="528" spans="1:9" x14ac:dyDescent="0.2">
      <c r="A528" s="2">
        <v>13</v>
      </c>
      <c r="B528" s="1" t="s">
        <v>152</v>
      </c>
      <c r="C528" s="4">
        <v>90</v>
      </c>
      <c r="D528" s="8">
        <v>1.61</v>
      </c>
      <c r="E528" s="4">
        <v>5</v>
      </c>
      <c r="F528" s="8">
        <v>0.21</v>
      </c>
      <c r="G528" s="4">
        <v>85</v>
      </c>
      <c r="H528" s="8">
        <v>2.69</v>
      </c>
      <c r="I528" s="4">
        <v>0</v>
      </c>
    </row>
    <row r="529" spans="1:9" x14ac:dyDescent="0.2">
      <c r="A529" s="2">
        <v>14</v>
      </c>
      <c r="B529" s="1" t="s">
        <v>169</v>
      </c>
      <c r="C529" s="4">
        <v>88</v>
      </c>
      <c r="D529" s="8">
        <v>1.57</v>
      </c>
      <c r="E529" s="4">
        <v>58</v>
      </c>
      <c r="F529" s="8">
        <v>2.38</v>
      </c>
      <c r="G529" s="4">
        <v>30</v>
      </c>
      <c r="H529" s="8">
        <v>0.95</v>
      </c>
      <c r="I529" s="4">
        <v>0</v>
      </c>
    </row>
    <row r="530" spans="1:9" x14ac:dyDescent="0.2">
      <c r="A530" s="2">
        <v>15</v>
      </c>
      <c r="B530" s="1" t="s">
        <v>162</v>
      </c>
      <c r="C530" s="4">
        <v>85</v>
      </c>
      <c r="D530" s="8">
        <v>1.52</v>
      </c>
      <c r="E530" s="4">
        <v>28</v>
      </c>
      <c r="F530" s="8">
        <v>1.1499999999999999</v>
      </c>
      <c r="G530" s="4">
        <v>56</v>
      </c>
      <c r="H530" s="8">
        <v>1.78</v>
      </c>
      <c r="I530" s="4">
        <v>0</v>
      </c>
    </row>
    <row r="531" spans="1:9" x14ac:dyDescent="0.2">
      <c r="A531" s="2">
        <v>16</v>
      </c>
      <c r="B531" s="1" t="s">
        <v>188</v>
      </c>
      <c r="C531" s="4">
        <v>84</v>
      </c>
      <c r="D531" s="8">
        <v>1.5</v>
      </c>
      <c r="E531" s="4">
        <v>43</v>
      </c>
      <c r="F531" s="8">
        <v>1.77</v>
      </c>
      <c r="G531" s="4">
        <v>41</v>
      </c>
      <c r="H531" s="8">
        <v>1.3</v>
      </c>
      <c r="I531" s="4">
        <v>0</v>
      </c>
    </row>
    <row r="532" spans="1:9" x14ac:dyDescent="0.2">
      <c r="A532" s="2">
        <v>17</v>
      </c>
      <c r="B532" s="1" t="s">
        <v>158</v>
      </c>
      <c r="C532" s="4">
        <v>78</v>
      </c>
      <c r="D532" s="8">
        <v>1.39</v>
      </c>
      <c r="E532" s="4">
        <v>41</v>
      </c>
      <c r="F532" s="8">
        <v>1.69</v>
      </c>
      <c r="G532" s="4">
        <v>37</v>
      </c>
      <c r="H532" s="8">
        <v>1.17</v>
      </c>
      <c r="I532" s="4">
        <v>0</v>
      </c>
    </row>
    <row r="533" spans="1:9" x14ac:dyDescent="0.2">
      <c r="A533" s="2">
        <v>18</v>
      </c>
      <c r="B533" s="1" t="s">
        <v>157</v>
      </c>
      <c r="C533" s="4">
        <v>74</v>
      </c>
      <c r="D533" s="8">
        <v>1.32</v>
      </c>
      <c r="E533" s="4">
        <v>30</v>
      </c>
      <c r="F533" s="8">
        <v>1.23</v>
      </c>
      <c r="G533" s="4">
        <v>44</v>
      </c>
      <c r="H533" s="8">
        <v>1.4</v>
      </c>
      <c r="I533" s="4">
        <v>0</v>
      </c>
    </row>
    <row r="534" spans="1:9" x14ac:dyDescent="0.2">
      <c r="A534" s="2">
        <v>19</v>
      </c>
      <c r="B534" s="1" t="s">
        <v>166</v>
      </c>
      <c r="C534" s="4">
        <v>72</v>
      </c>
      <c r="D534" s="8">
        <v>1.29</v>
      </c>
      <c r="E534" s="4">
        <v>27</v>
      </c>
      <c r="F534" s="8">
        <v>1.1100000000000001</v>
      </c>
      <c r="G534" s="4">
        <v>45</v>
      </c>
      <c r="H534" s="8">
        <v>1.43</v>
      </c>
      <c r="I534" s="4">
        <v>0</v>
      </c>
    </row>
    <row r="535" spans="1:9" x14ac:dyDescent="0.2">
      <c r="A535" s="2">
        <v>20</v>
      </c>
      <c r="B535" s="1" t="s">
        <v>205</v>
      </c>
      <c r="C535" s="4">
        <v>70</v>
      </c>
      <c r="D535" s="8">
        <v>1.25</v>
      </c>
      <c r="E535" s="4">
        <v>13</v>
      </c>
      <c r="F535" s="8">
        <v>0.53</v>
      </c>
      <c r="G535" s="4">
        <v>57</v>
      </c>
      <c r="H535" s="8">
        <v>1.81</v>
      </c>
      <c r="I535" s="4">
        <v>0</v>
      </c>
    </row>
    <row r="536" spans="1:9" x14ac:dyDescent="0.2">
      <c r="A536" s="1"/>
      <c r="C536" s="4"/>
      <c r="D536" s="8"/>
      <c r="E536" s="4"/>
      <c r="F536" s="8"/>
      <c r="G536" s="4"/>
      <c r="H536" s="8"/>
      <c r="I536" s="4"/>
    </row>
    <row r="537" spans="1:9" x14ac:dyDescent="0.2">
      <c r="A537" s="1" t="s">
        <v>24</v>
      </c>
      <c r="C537" s="4"/>
      <c r="D537" s="8"/>
      <c r="E537" s="4"/>
      <c r="F537" s="8"/>
      <c r="G537" s="4"/>
      <c r="H537" s="8"/>
      <c r="I537" s="4"/>
    </row>
    <row r="538" spans="1:9" x14ac:dyDescent="0.2">
      <c r="A538" s="2">
        <v>1</v>
      </c>
      <c r="B538" s="1" t="s">
        <v>168</v>
      </c>
      <c r="C538" s="4">
        <v>235</v>
      </c>
      <c r="D538" s="8">
        <v>6.33</v>
      </c>
      <c r="E538" s="4">
        <v>221</v>
      </c>
      <c r="F538" s="8">
        <v>11.44</v>
      </c>
      <c r="G538" s="4">
        <v>14</v>
      </c>
      <c r="H538" s="8">
        <v>0.8</v>
      </c>
      <c r="I538" s="4">
        <v>0</v>
      </c>
    </row>
    <row r="539" spans="1:9" x14ac:dyDescent="0.2">
      <c r="A539" s="2">
        <v>2</v>
      </c>
      <c r="B539" s="1" t="s">
        <v>170</v>
      </c>
      <c r="C539" s="4">
        <v>133</v>
      </c>
      <c r="D539" s="8">
        <v>3.58</v>
      </c>
      <c r="E539" s="4">
        <v>111</v>
      </c>
      <c r="F539" s="8">
        <v>5.75</v>
      </c>
      <c r="G539" s="4">
        <v>22</v>
      </c>
      <c r="H539" s="8">
        <v>1.25</v>
      </c>
      <c r="I539" s="4">
        <v>0</v>
      </c>
    </row>
    <row r="540" spans="1:9" x14ac:dyDescent="0.2">
      <c r="A540" s="2">
        <v>3</v>
      </c>
      <c r="B540" s="1" t="s">
        <v>167</v>
      </c>
      <c r="C540" s="4">
        <v>107</v>
      </c>
      <c r="D540" s="8">
        <v>2.88</v>
      </c>
      <c r="E540" s="4">
        <v>102</v>
      </c>
      <c r="F540" s="8">
        <v>5.28</v>
      </c>
      <c r="G540" s="4">
        <v>5</v>
      </c>
      <c r="H540" s="8">
        <v>0.28000000000000003</v>
      </c>
      <c r="I540" s="4">
        <v>0</v>
      </c>
    </row>
    <row r="541" spans="1:9" x14ac:dyDescent="0.2">
      <c r="A541" s="2">
        <v>4</v>
      </c>
      <c r="B541" s="1" t="s">
        <v>156</v>
      </c>
      <c r="C541" s="4">
        <v>105</v>
      </c>
      <c r="D541" s="8">
        <v>2.83</v>
      </c>
      <c r="E541" s="4">
        <v>52</v>
      </c>
      <c r="F541" s="8">
        <v>2.69</v>
      </c>
      <c r="G541" s="4">
        <v>53</v>
      </c>
      <c r="H541" s="8">
        <v>3.01</v>
      </c>
      <c r="I541" s="4">
        <v>0</v>
      </c>
    </row>
    <row r="542" spans="1:9" x14ac:dyDescent="0.2">
      <c r="A542" s="2">
        <v>5</v>
      </c>
      <c r="B542" s="1" t="s">
        <v>171</v>
      </c>
      <c r="C542" s="4">
        <v>89</v>
      </c>
      <c r="D542" s="8">
        <v>2.4</v>
      </c>
      <c r="E542" s="4">
        <v>83</v>
      </c>
      <c r="F542" s="8">
        <v>4.3</v>
      </c>
      <c r="G542" s="4">
        <v>6</v>
      </c>
      <c r="H542" s="8">
        <v>0.34</v>
      </c>
      <c r="I542" s="4">
        <v>0</v>
      </c>
    </row>
    <row r="543" spans="1:9" x14ac:dyDescent="0.2">
      <c r="A543" s="2">
        <v>6</v>
      </c>
      <c r="B543" s="1" t="s">
        <v>164</v>
      </c>
      <c r="C543" s="4">
        <v>87</v>
      </c>
      <c r="D543" s="8">
        <v>2.34</v>
      </c>
      <c r="E543" s="4">
        <v>76</v>
      </c>
      <c r="F543" s="8">
        <v>3.93</v>
      </c>
      <c r="G543" s="4">
        <v>11</v>
      </c>
      <c r="H543" s="8">
        <v>0.63</v>
      </c>
      <c r="I543" s="4">
        <v>0</v>
      </c>
    </row>
    <row r="544" spans="1:9" x14ac:dyDescent="0.2">
      <c r="A544" s="2">
        <v>7</v>
      </c>
      <c r="B544" s="1" t="s">
        <v>165</v>
      </c>
      <c r="C544" s="4">
        <v>83</v>
      </c>
      <c r="D544" s="8">
        <v>2.2400000000000002</v>
      </c>
      <c r="E544" s="4">
        <v>76</v>
      </c>
      <c r="F544" s="8">
        <v>3.93</v>
      </c>
      <c r="G544" s="4">
        <v>7</v>
      </c>
      <c r="H544" s="8">
        <v>0.4</v>
      </c>
      <c r="I544" s="4">
        <v>0</v>
      </c>
    </row>
    <row r="545" spans="1:9" x14ac:dyDescent="0.2">
      <c r="A545" s="2">
        <v>8</v>
      </c>
      <c r="B545" s="1" t="s">
        <v>158</v>
      </c>
      <c r="C545" s="4">
        <v>77</v>
      </c>
      <c r="D545" s="8">
        <v>2.0699999999999998</v>
      </c>
      <c r="E545" s="4">
        <v>48</v>
      </c>
      <c r="F545" s="8">
        <v>2.48</v>
      </c>
      <c r="G545" s="4">
        <v>29</v>
      </c>
      <c r="H545" s="8">
        <v>1.65</v>
      </c>
      <c r="I545" s="4">
        <v>0</v>
      </c>
    </row>
    <row r="546" spans="1:9" x14ac:dyDescent="0.2">
      <c r="A546" s="2">
        <v>9</v>
      </c>
      <c r="B546" s="1" t="s">
        <v>163</v>
      </c>
      <c r="C546" s="4">
        <v>76</v>
      </c>
      <c r="D546" s="8">
        <v>2.0499999999999998</v>
      </c>
      <c r="E546" s="4">
        <v>61</v>
      </c>
      <c r="F546" s="8">
        <v>3.16</v>
      </c>
      <c r="G546" s="4">
        <v>15</v>
      </c>
      <c r="H546" s="8">
        <v>0.85</v>
      </c>
      <c r="I546" s="4">
        <v>0</v>
      </c>
    </row>
    <row r="547" spans="1:9" x14ac:dyDescent="0.2">
      <c r="A547" s="2">
        <v>10</v>
      </c>
      <c r="B547" s="1" t="s">
        <v>161</v>
      </c>
      <c r="C547" s="4">
        <v>74</v>
      </c>
      <c r="D547" s="8">
        <v>1.99</v>
      </c>
      <c r="E547" s="4">
        <v>25</v>
      </c>
      <c r="F547" s="8">
        <v>1.29</v>
      </c>
      <c r="G547" s="4">
        <v>48</v>
      </c>
      <c r="H547" s="8">
        <v>2.73</v>
      </c>
      <c r="I547" s="4">
        <v>1</v>
      </c>
    </row>
    <row r="548" spans="1:9" x14ac:dyDescent="0.2">
      <c r="A548" s="2">
        <v>11</v>
      </c>
      <c r="B548" s="1" t="s">
        <v>157</v>
      </c>
      <c r="C548" s="4">
        <v>73</v>
      </c>
      <c r="D548" s="8">
        <v>1.97</v>
      </c>
      <c r="E548" s="4">
        <v>38</v>
      </c>
      <c r="F548" s="8">
        <v>1.97</v>
      </c>
      <c r="G548" s="4">
        <v>35</v>
      </c>
      <c r="H548" s="8">
        <v>1.99</v>
      </c>
      <c r="I548" s="4">
        <v>0</v>
      </c>
    </row>
    <row r="549" spans="1:9" x14ac:dyDescent="0.2">
      <c r="A549" s="2">
        <v>12</v>
      </c>
      <c r="B549" s="1" t="s">
        <v>153</v>
      </c>
      <c r="C549" s="4">
        <v>65</v>
      </c>
      <c r="D549" s="8">
        <v>1.75</v>
      </c>
      <c r="E549" s="4">
        <v>6</v>
      </c>
      <c r="F549" s="8">
        <v>0.31</v>
      </c>
      <c r="G549" s="4">
        <v>59</v>
      </c>
      <c r="H549" s="8">
        <v>3.35</v>
      </c>
      <c r="I549" s="4">
        <v>0</v>
      </c>
    </row>
    <row r="550" spans="1:9" x14ac:dyDescent="0.2">
      <c r="A550" s="2">
        <v>13</v>
      </c>
      <c r="B550" s="1" t="s">
        <v>166</v>
      </c>
      <c r="C550" s="4">
        <v>63</v>
      </c>
      <c r="D550" s="8">
        <v>1.7</v>
      </c>
      <c r="E550" s="4">
        <v>47</v>
      </c>
      <c r="F550" s="8">
        <v>2.4300000000000002</v>
      </c>
      <c r="G550" s="4">
        <v>16</v>
      </c>
      <c r="H550" s="8">
        <v>0.91</v>
      </c>
      <c r="I550" s="4">
        <v>0</v>
      </c>
    </row>
    <row r="551" spans="1:9" x14ac:dyDescent="0.2">
      <c r="A551" s="2">
        <v>14</v>
      </c>
      <c r="B551" s="1" t="s">
        <v>154</v>
      </c>
      <c r="C551" s="4">
        <v>62</v>
      </c>
      <c r="D551" s="8">
        <v>1.67</v>
      </c>
      <c r="E551" s="4">
        <v>16</v>
      </c>
      <c r="F551" s="8">
        <v>0.83</v>
      </c>
      <c r="G551" s="4">
        <v>46</v>
      </c>
      <c r="H551" s="8">
        <v>2.61</v>
      </c>
      <c r="I551" s="4">
        <v>0</v>
      </c>
    </row>
    <row r="552" spans="1:9" x14ac:dyDescent="0.2">
      <c r="A552" s="2">
        <v>15</v>
      </c>
      <c r="B552" s="1" t="s">
        <v>152</v>
      </c>
      <c r="C552" s="4">
        <v>61</v>
      </c>
      <c r="D552" s="8">
        <v>1.64</v>
      </c>
      <c r="E552" s="4">
        <v>10</v>
      </c>
      <c r="F552" s="8">
        <v>0.52</v>
      </c>
      <c r="G552" s="4">
        <v>51</v>
      </c>
      <c r="H552" s="8">
        <v>2.9</v>
      </c>
      <c r="I552" s="4">
        <v>0</v>
      </c>
    </row>
    <row r="553" spans="1:9" x14ac:dyDescent="0.2">
      <c r="A553" s="2">
        <v>15</v>
      </c>
      <c r="B553" s="1" t="s">
        <v>205</v>
      </c>
      <c r="C553" s="4">
        <v>61</v>
      </c>
      <c r="D553" s="8">
        <v>1.64</v>
      </c>
      <c r="E553" s="4">
        <v>24</v>
      </c>
      <c r="F553" s="8">
        <v>1.24</v>
      </c>
      <c r="G553" s="4">
        <v>37</v>
      </c>
      <c r="H553" s="8">
        <v>2.1</v>
      </c>
      <c r="I553" s="4">
        <v>0</v>
      </c>
    </row>
    <row r="554" spans="1:9" x14ac:dyDescent="0.2">
      <c r="A554" s="2">
        <v>17</v>
      </c>
      <c r="B554" s="1" t="s">
        <v>210</v>
      </c>
      <c r="C554" s="4">
        <v>56</v>
      </c>
      <c r="D554" s="8">
        <v>1.51</v>
      </c>
      <c r="E554" s="4">
        <v>38</v>
      </c>
      <c r="F554" s="8">
        <v>1.97</v>
      </c>
      <c r="G554" s="4">
        <v>17</v>
      </c>
      <c r="H554" s="8">
        <v>0.97</v>
      </c>
      <c r="I554" s="4">
        <v>1</v>
      </c>
    </row>
    <row r="555" spans="1:9" x14ac:dyDescent="0.2">
      <c r="A555" s="2">
        <v>18</v>
      </c>
      <c r="B555" s="1" t="s">
        <v>186</v>
      </c>
      <c r="C555" s="4">
        <v>54</v>
      </c>
      <c r="D555" s="8">
        <v>1.45</v>
      </c>
      <c r="E555" s="4">
        <v>37</v>
      </c>
      <c r="F555" s="8">
        <v>1.92</v>
      </c>
      <c r="G555" s="4">
        <v>15</v>
      </c>
      <c r="H555" s="8">
        <v>0.85</v>
      </c>
      <c r="I555" s="4">
        <v>2</v>
      </c>
    </row>
    <row r="556" spans="1:9" x14ac:dyDescent="0.2">
      <c r="A556" s="2">
        <v>19</v>
      </c>
      <c r="B556" s="1" t="s">
        <v>155</v>
      </c>
      <c r="C556" s="4">
        <v>52</v>
      </c>
      <c r="D556" s="8">
        <v>1.4</v>
      </c>
      <c r="E556" s="4">
        <v>14</v>
      </c>
      <c r="F556" s="8">
        <v>0.72</v>
      </c>
      <c r="G556" s="4">
        <v>38</v>
      </c>
      <c r="H556" s="8">
        <v>2.16</v>
      </c>
      <c r="I556" s="4">
        <v>0</v>
      </c>
    </row>
    <row r="557" spans="1:9" x14ac:dyDescent="0.2">
      <c r="A557" s="2">
        <v>20</v>
      </c>
      <c r="B557" s="1" t="s">
        <v>202</v>
      </c>
      <c r="C557" s="4">
        <v>49</v>
      </c>
      <c r="D557" s="8">
        <v>1.32</v>
      </c>
      <c r="E557" s="4">
        <v>13</v>
      </c>
      <c r="F557" s="8">
        <v>0.67</v>
      </c>
      <c r="G557" s="4">
        <v>36</v>
      </c>
      <c r="H557" s="8">
        <v>2.0499999999999998</v>
      </c>
      <c r="I557" s="4">
        <v>0</v>
      </c>
    </row>
    <row r="558" spans="1:9" x14ac:dyDescent="0.2">
      <c r="A558" s="1"/>
      <c r="C558" s="4"/>
      <c r="D558" s="8"/>
      <c r="E558" s="4"/>
      <c r="F558" s="8"/>
      <c r="G558" s="4"/>
      <c r="H558" s="8"/>
      <c r="I558" s="4"/>
    </row>
    <row r="559" spans="1:9" x14ac:dyDescent="0.2">
      <c r="A559" s="1" t="s">
        <v>25</v>
      </c>
      <c r="C559" s="4"/>
      <c r="D559" s="8"/>
      <c r="E559" s="4"/>
      <c r="F559" s="8"/>
      <c r="G559" s="4"/>
      <c r="H559" s="8"/>
      <c r="I559" s="4"/>
    </row>
    <row r="560" spans="1:9" x14ac:dyDescent="0.2">
      <c r="A560" s="2">
        <v>1</v>
      </c>
      <c r="B560" s="1" t="s">
        <v>170</v>
      </c>
      <c r="C560" s="4">
        <v>73</v>
      </c>
      <c r="D560" s="8">
        <v>4.72</v>
      </c>
      <c r="E560" s="4">
        <v>67</v>
      </c>
      <c r="F560" s="8">
        <v>8.44</v>
      </c>
      <c r="G560" s="4">
        <v>6</v>
      </c>
      <c r="H560" s="8">
        <v>0.82</v>
      </c>
      <c r="I560" s="4">
        <v>0</v>
      </c>
    </row>
    <row r="561" spans="1:9" x14ac:dyDescent="0.2">
      <c r="A561" s="2">
        <v>2</v>
      </c>
      <c r="B561" s="1" t="s">
        <v>168</v>
      </c>
      <c r="C561" s="4">
        <v>56</v>
      </c>
      <c r="D561" s="8">
        <v>3.62</v>
      </c>
      <c r="E561" s="4">
        <v>51</v>
      </c>
      <c r="F561" s="8">
        <v>6.42</v>
      </c>
      <c r="G561" s="4">
        <v>5</v>
      </c>
      <c r="H561" s="8">
        <v>0.68</v>
      </c>
      <c r="I561" s="4">
        <v>0</v>
      </c>
    </row>
    <row r="562" spans="1:9" x14ac:dyDescent="0.2">
      <c r="A562" s="2">
        <v>3</v>
      </c>
      <c r="B562" s="1" t="s">
        <v>161</v>
      </c>
      <c r="C562" s="4">
        <v>55</v>
      </c>
      <c r="D562" s="8">
        <v>3.56</v>
      </c>
      <c r="E562" s="4">
        <v>24</v>
      </c>
      <c r="F562" s="8">
        <v>3.02</v>
      </c>
      <c r="G562" s="4">
        <v>31</v>
      </c>
      <c r="H562" s="8">
        <v>4.21</v>
      </c>
      <c r="I562" s="4">
        <v>0</v>
      </c>
    </row>
    <row r="563" spans="1:9" x14ac:dyDescent="0.2">
      <c r="A563" s="2">
        <v>4</v>
      </c>
      <c r="B563" s="1" t="s">
        <v>171</v>
      </c>
      <c r="C563" s="4">
        <v>46</v>
      </c>
      <c r="D563" s="8">
        <v>2.98</v>
      </c>
      <c r="E563" s="4">
        <v>42</v>
      </c>
      <c r="F563" s="8">
        <v>5.29</v>
      </c>
      <c r="G563" s="4">
        <v>4</v>
      </c>
      <c r="H563" s="8">
        <v>0.54</v>
      </c>
      <c r="I563" s="4">
        <v>0</v>
      </c>
    </row>
    <row r="564" spans="1:9" x14ac:dyDescent="0.2">
      <c r="A564" s="2">
        <v>5</v>
      </c>
      <c r="B564" s="1" t="s">
        <v>165</v>
      </c>
      <c r="C564" s="4">
        <v>45</v>
      </c>
      <c r="D564" s="8">
        <v>2.91</v>
      </c>
      <c r="E564" s="4">
        <v>43</v>
      </c>
      <c r="F564" s="8">
        <v>5.42</v>
      </c>
      <c r="G564" s="4">
        <v>2</v>
      </c>
      <c r="H564" s="8">
        <v>0.27</v>
      </c>
      <c r="I564" s="4">
        <v>0</v>
      </c>
    </row>
    <row r="565" spans="1:9" x14ac:dyDescent="0.2">
      <c r="A565" s="2">
        <v>6</v>
      </c>
      <c r="B565" s="1" t="s">
        <v>167</v>
      </c>
      <c r="C565" s="4">
        <v>44</v>
      </c>
      <c r="D565" s="8">
        <v>2.85</v>
      </c>
      <c r="E565" s="4">
        <v>42</v>
      </c>
      <c r="F565" s="8">
        <v>5.29</v>
      </c>
      <c r="G565" s="4">
        <v>2</v>
      </c>
      <c r="H565" s="8">
        <v>0.27</v>
      </c>
      <c r="I565" s="4">
        <v>0</v>
      </c>
    </row>
    <row r="566" spans="1:9" x14ac:dyDescent="0.2">
      <c r="A566" s="2">
        <v>7</v>
      </c>
      <c r="B566" s="1" t="s">
        <v>156</v>
      </c>
      <c r="C566" s="4">
        <v>39</v>
      </c>
      <c r="D566" s="8">
        <v>2.52</v>
      </c>
      <c r="E566" s="4">
        <v>20</v>
      </c>
      <c r="F566" s="8">
        <v>2.52</v>
      </c>
      <c r="G566" s="4">
        <v>19</v>
      </c>
      <c r="H566" s="8">
        <v>2.58</v>
      </c>
      <c r="I566" s="4">
        <v>0</v>
      </c>
    </row>
    <row r="567" spans="1:9" x14ac:dyDescent="0.2">
      <c r="A567" s="2">
        <v>8</v>
      </c>
      <c r="B567" s="1" t="s">
        <v>157</v>
      </c>
      <c r="C567" s="4">
        <v>32</v>
      </c>
      <c r="D567" s="8">
        <v>2.0699999999999998</v>
      </c>
      <c r="E567" s="4">
        <v>12</v>
      </c>
      <c r="F567" s="8">
        <v>1.51</v>
      </c>
      <c r="G567" s="4">
        <v>20</v>
      </c>
      <c r="H567" s="8">
        <v>2.72</v>
      </c>
      <c r="I567" s="4">
        <v>0</v>
      </c>
    </row>
    <row r="568" spans="1:9" x14ac:dyDescent="0.2">
      <c r="A568" s="2">
        <v>9</v>
      </c>
      <c r="B568" s="1" t="s">
        <v>163</v>
      </c>
      <c r="C568" s="4">
        <v>31</v>
      </c>
      <c r="D568" s="8">
        <v>2.0099999999999998</v>
      </c>
      <c r="E568" s="4">
        <v>22</v>
      </c>
      <c r="F568" s="8">
        <v>2.77</v>
      </c>
      <c r="G568" s="4">
        <v>9</v>
      </c>
      <c r="H568" s="8">
        <v>1.22</v>
      </c>
      <c r="I568" s="4">
        <v>0</v>
      </c>
    </row>
    <row r="569" spans="1:9" x14ac:dyDescent="0.2">
      <c r="A569" s="2">
        <v>10</v>
      </c>
      <c r="B569" s="1" t="s">
        <v>158</v>
      </c>
      <c r="C569" s="4">
        <v>26</v>
      </c>
      <c r="D569" s="8">
        <v>1.68</v>
      </c>
      <c r="E569" s="4">
        <v>16</v>
      </c>
      <c r="F569" s="8">
        <v>2.02</v>
      </c>
      <c r="G569" s="4">
        <v>10</v>
      </c>
      <c r="H569" s="8">
        <v>1.36</v>
      </c>
      <c r="I569" s="4">
        <v>0</v>
      </c>
    </row>
    <row r="570" spans="1:9" x14ac:dyDescent="0.2">
      <c r="A570" s="2">
        <v>11</v>
      </c>
      <c r="B570" s="1" t="s">
        <v>160</v>
      </c>
      <c r="C570" s="4">
        <v>24</v>
      </c>
      <c r="D570" s="8">
        <v>1.55</v>
      </c>
      <c r="E570" s="4">
        <v>4</v>
      </c>
      <c r="F570" s="8">
        <v>0.5</v>
      </c>
      <c r="G570" s="4">
        <v>20</v>
      </c>
      <c r="H570" s="8">
        <v>2.72</v>
      </c>
      <c r="I570" s="4">
        <v>0</v>
      </c>
    </row>
    <row r="571" spans="1:9" x14ac:dyDescent="0.2">
      <c r="A571" s="2">
        <v>11</v>
      </c>
      <c r="B571" s="1" t="s">
        <v>164</v>
      </c>
      <c r="C571" s="4">
        <v>24</v>
      </c>
      <c r="D571" s="8">
        <v>1.55</v>
      </c>
      <c r="E571" s="4">
        <v>20</v>
      </c>
      <c r="F571" s="8">
        <v>2.52</v>
      </c>
      <c r="G571" s="4">
        <v>4</v>
      </c>
      <c r="H571" s="8">
        <v>0.54</v>
      </c>
      <c r="I571" s="4">
        <v>0</v>
      </c>
    </row>
    <row r="572" spans="1:9" x14ac:dyDescent="0.2">
      <c r="A572" s="2">
        <v>13</v>
      </c>
      <c r="B572" s="1" t="s">
        <v>186</v>
      </c>
      <c r="C572" s="4">
        <v>23</v>
      </c>
      <c r="D572" s="8">
        <v>1.49</v>
      </c>
      <c r="E572" s="4">
        <v>12</v>
      </c>
      <c r="F572" s="8">
        <v>1.51</v>
      </c>
      <c r="G572" s="4">
        <v>11</v>
      </c>
      <c r="H572" s="8">
        <v>1.49</v>
      </c>
      <c r="I572" s="4">
        <v>0</v>
      </c>
    </row>
    <row r="573" spans="1:9" x14ac:dyDescent="0.2">
      <c r="A573" s="2">
        <v>14</v>
      </c>
      <c r="B573" s="1" t="s">
        <v>154</v>
      </c>
      <c r="C573" s="4">
        <v>22</v>
      </c>
      <c r="D573" s="8">
        <v>1.42</v>
      </c>
      <c r="E573" s="4">
        <v>8</v>
      </c>
      <c r="F573" s="8">
        <v>1.01</v>
      </c>
      <c r="G573" s="4">
        <v>14</v>
      </c>
      <c r="H573" s="8">
        <v>1.9</v>
      </c>
      <c r="I573" s="4">
        <v>0</v>
      </c>
    </row>
    <row r="574" spans="1:9" x14ac:dyDescent="0.2">
      <c r="A574" s="2">
        <v>14</v>
      </c>
      <c r="B574" s="1" t="s">
        <v>191</v>
      </c>
      <c r="C574" s="4">
        <v>22</v>
      </c>
      <c r="D574" s="8">
        <v>1.42</v>
      </c>
      <c r="E574" s="4">
        <v>6</v>
      </c>
      <c r="F574" s="8">
        <v>0.76</v>
      </c>
      <c r="G574" s="4">
        <v>16</v>
      </c>
      <c r="H574" s="8">
        <v>2.17</v>
      </c>
      <c r="I574" s="4">
        <v>0</v>
      </c>
    </row>
    <row r="575" spans="1:9" x14ac:dyDescent="0.2">
      <c r="A575" s="2">
        <v>14</v>
      </c>
      <c r="B575" s="1" t="s">
        <v>169</v>
      </c>
      <c r="C575" s="4">
        <v>22</v>
      </c>
      <c r="D575" s="8">
        <v>1.42</v>
      </c>
      <c r="E575" s="4">
        <v>17</v>
      </c>
      <c r="F575" s="8">
        <v>2.14</v>
      </c>
      <c r="G575" s="4">
        <v>5</v>
      </c>
      <c r="H575" s="8">
        <v>0.68</v>
      </c>
      <c r="I575" s="4">
        <v>0</v>
      </c>
    </row>
    <row r="576" spans="1:9" x14ac:dyDescent="0.2">
      <c r="A576" s="2">
        <v>17</v>
      </c>
      <c r="B576" s="1" t="s">
        <v>210</v>
      </c>
      <c r="C576" s="4">
        <v>21</v>
      </c>
      <c r="D576" s="8">
        <v>1.36</v>
      </c>
      <c r="E576" s="4">
        <v>16</v>
      </c>
      <c r="F576" s="8">
        <v>2.02</v>
      </c>
      <c r="G576" s="4">
        <v>5</v>
      </c>
      <c r="H576" s="8">
        <v>0.68</v>
      </c>
      <c r="I576" s="4">
        <v>0</v>
      </c>
    </row>
    <row r="577" spans="1:9" x14ac:dyDescent="0.2">
      <c r="A577" s="2">
        <v>17</v>
      </c>
      <c r="B577" s="1" t="s">
        <v>166</v>
      </c>
      <c r="C577" s="4">
        <v>21</v>
      </c>
      <c r="D577" s="8">
        <v>1.36</v>
      </c>
      <c r="E577" s="4">
        <v>11</v>
      </c>
      <c r="F577" s="8">
        <v>1.39</v>
      </c>
      <c r="G577" s="4">
        <v>10</v>
      </c>
      <c r="H577" s="8">
        <v>1.36</v>
      </c>
      <c r="I577" s="4">
        <v>0</v>
      </c>
    </row>
    <row r="578" spans="1:9" x14ac:dyDescent="0.2">
      <c r="A578" s="2">
        <v>19</v>
      </c>
      <c r="B578" s="1" t="s">
        <v>152</v>
      </c>
      <c r="C578" s="4">
        <v>19</v>
      </c>
      <c r="D578" s="8">
        <v>1.23</v>
      </c>
      <c r="E578" s="4">
        <v>3</v>
      </c>
      <c r="F578" s="8">
        <v>0.38</v>
      </c>
      <c r="G578" s="4">
        <v>16</v>
      </c>
      <c r="H578" s="8">
        <v>2.17</v>
      </c>
      <c r="I578" s="4">
        <v>0</v>
      </c>
    </row>
    <row r="579" spans="1:9" x14ac:dyDescent="0.2">
      <c r="A579" s="2">
        <v>19</v>
      </c>
      <c r="B579" s="1" t="s">
        <v>153</v>
      </c>
      <c r="C579" s="4">
        <v>19</v>
      </c>
      <c r="D579" s="8">
        <v>1.23</v>
      </c>
      <c r="E579" s="4">
        <v>5</v>
      </c>
      <c r="F579" s="8">
        <v>0.63</v>
      </c>
      <c r="G579" s="4">
        <v>14</v>
      </c>
      <c r="H579" s="8">
        <v>1.9</v>
      </c>
      <c r="I579" s="4">
        <v>0</v>
      </c>
    </row>
    <row r="580" spans="1:9" x14ac:dyDescent="0.2">
      <c r="A580" s="2">
        <v>19</v>
      </c>
      <c r="B580" s="1" t="s">
        <v>155</v>
      </c>
      <c r="C580" s="4">
        <v>19</v>
      </c>
      <c r="D580" s="8">
        <v>1.23</v>
      </c>
      <c r="E580" s="4">
        <v>3</v>
      </c>
      <c r="F580" s="8">
        <v>0.38</v>
      </c>
      <c r="G580" s="4">
        <v>16</v>
      </c>
      <c r="H580" s="8">
        <v>2.17</v>
      </c>
      <c r="I580" s="4">
        <v>0</v>
      </c>
    </row>
    <row r="581" spans="1:9" x14ac:dyDescent="0.2">
      <c r="A581" s="2">
        <v>19</v>
      </c>
      <c r="B581" s="1" t="s">
        <v>196</v>
      </c>
      <c r="C581" s="4">
        <v>19</v>
      </c>
      <c r="D581" s="8">
        <v>1.23</v>
      </c>
      <c r="E581" s="4">
        <v>1</v>
      </c>
      <c r="F581" s="8">
        <v>0.13</v>
      </c>
      <c r="G581" s="4">
        <v>18</v>
      </c>
      <c r="H581" s="8">
        <v>2.4500000000000002</v>
      </c>
      <c r="I581" s="4">
        <v>0</v>
      </c>
    </row>
    <row r="582" spans="1:9" x14ac:dyDescent="0.2">
      <c r="A582" s="2">
        <v>19</v>
      </c>
      <c r="B582" s="1" t="s">
        <v>193</v>
      </c>
      <c r="C582" s="4">
        <v>19</v>
      </c>
      <c r="D582" s="8">
        <v>1.23</v>
      </c>
      <c r="E582" s="4">
        <v>16</v>
      </c>
      <c r="F582" s="8">
        <v>2.02</v>
      </c>
      <c r="G582" s="4">
        <v>3</v>
      </c>
      <c r="H582" s="8">
        <v>0.41</v>
      </c>
      <c r="I582" s="4">
        <v>0</v>
      </c>
    </row>
    <row r="583" spans="1:9" x14ac:dyDescent="0.2">
      <c r="A583" s="1"/>
      <c r="C583" s="4"/>
      <c r="D583" s="8"/>
      <c r="E583" s="4"/>
      <c r="F583" s="8"/>
      <c r="G583" s="4"/>
      <c r="H583" s="8"/>
      <c r="I583" s="4"/>
    </row>
    <row r="584" spans="1:9" x14ac:dyDescent="0.2">
      <c r="A584" s="1" t="s">
        <v>26</v>
      </c>
      <c r="C584" s="4"/>
      <c r="D584" s="8"/>
      <c r="E584" s="4"/>
      <c r="F584" s="8"/>
      <c r="G584" s="4"/>
      <c r="H584" s="8"/>
      <c r="I584" s="4"/>
    </row>
    <row r="585" spans="1:9" x14ac:dyDescent="0.2">
      <c r="A585" s="2">
        <v>1</v>
      </c>
      <c r="B585" s="1" t="s">
        <v>168</v>
      </c>
      <c r="C585" s="4">
        <v>76</v>
      </c>
      <c r="D585" s="8">
        <v>4.2699999999999996</v>
      </c>
      <c r="E585" s="4">
        <v>72</v>
      </c>
      <c r="F585" s="8">
        <v>7.06</v>
      </c>
      <c r="G585" s="4">
        <v>4</v>
      </c>
      <c r="H585" s="8">
        <v>0.53</v>
      </c>
      <c r="I585" s="4">
        <v>0</v>
      </c>
    </row>
    <row r="586" spans="1:9" x14ac:dyDescent="0.2">
      <c r="A586" s="2">
        <v>2</v>
      </c>
      <c r="B586" s="1" t="s">
        <v>161</v>
      </c>
      <c r="C586" s="4">
        <v>64</v>
      </c>
      <c r="D586" s="8">
        <v>3.6</v>
      </c>
      <c r="E586" s="4">
        <v>34</v>
      </c>
      <c r="F586" s="8">
        <v>3.33</v>
      </c>
      <c r="G586" s="4">
        <v>30</v>
      </c>
      <c r="H586" s="8">
        <v>4.01</v>
      </c>
      <c r="I586" s="4">
        <v>0</v>
      </c>
    </row>
    <row r="587" spans="1:9" x14ac:dyDescent="0.2">
      <c r="A587" s="2">
        <v>3</v>
      </c>
      <c r="B587" s="1" t="s">
        <v>170</v>
      </c>
      <c r="C587" s="4">
        <v>56</v>
      </c>
      <c r="D587" s="8">
        <v>3.15</v>
      </c>
      <c r="E587" s="4">
        <v>50</v>
      </c>
      <c r="F587" s="8">
        <v>4.9000000000000004</v>
      </c>
      <c r="G587" s="4">
        <v>6</v>
      </c>
      <c r="H587" s="8">
        <v>0.8</v>
      </c>
      <c r="I587" s="4">
        <v>0</v>
      </c>
    </row>
    <row r="588" spans="1:9" x14ac:dyDescent="0.2">
      <c r="A588" s="2">
        <v>4</v>
      </c>
      <c r="B588" s="1" t="s">
        <v>205</v>
      </c>
      <c r="C588" s="4">
        <v>40</v>
      </c>
      <c r="D588" s="8">
        <v>2.25</v>
      </c>
      <c r="E588" s="4">
        <v>20</v>
      </c>
      <c r="F588" s="8">
        <v>1.96</v>
      </c>
      <c r="G588" s="4">
        <v>20</v>
      </c>
      <c r="H588" s="8">
        <v>2.67</v>
      </c>
      <c r="I588" s="4">
        <v>0</v>
      </c>
    </row>
    <row r="589" spans="1:9" x14ac:dyDescent="0.2">
      <c r="A589" s="2">
        <v>4</v>
      </c>
      <c r="B589" s="1" t="s">
        <v>171</v>
      </c>
      <c r="C589" s="4">
        <v>40</v>
      </c>
      <c r="D589" s="8">
        <v>2.25</v>
      </c>
      <c r="E589" s="4">
        <v>37</v>
      </c>
      <c r="F589" s="8">
        <v>3.63</v>
      </c>
      <c r="G589" s="4">
        <v>3</v>
      </c>
      <c r="H589" s="8">
        <v>0.4</v>
      </c>
      <c r="I589" s="4">
        <v>0</v>
      </c>
    </row>
    <row r="590" spans="1:9" x14ac:dyDescent="0.2">
      <c r="A590" s="2">
        <v>6</v>
      </c>
      <c r="B590" s="1" t="s">
        <v>158</v>
      </c>
      <c r="C590" s="4">
        <v>37</v>
      </c>
      <c r="D590" s="8">
        <v>2.08</v>
      </c>
      <c r="E590" s="4">
        <v>28</v>
      </c>
      <c r="F590" s="8">
        <v>2.75</v>
      </c>
      <c r="G590" s="4">
        <v>9</v>
      </c>
      <c r="H590" s="8">
        <v>1.2</v>
      </c>
      <c r="I590" s="4">
        <v>0</v>
      </c>
    </row>
    <row r="591" spans="1:9" x14ac:dyDescent="0.2">
      <c r="A591" s="2">
        <v>7</v>
      </c>
      <c r="B591" s="1" t="s">
        <v>164</v>
      </c>
      <c r="C591" s="4">
        <v>35</v>
      </c>
      <c r="D591" s="8">
        <v>1.97</v>
      </c>
      <c r="E591" s="4">
        <v>31</v>
      </c>
      <c r="F591" s="8">
        <v>3.04</v>
      </c>
      <c r="G591" s="4">
        <v>4</v>
      </c>
      <c r="H591" s="8">
        <v>0.53</v>
      </c>
      <c r="I591" s="4">
        <v>0</v>
      </c>
    </row>
    <row r="592" spans="1:9" x14ac:dyDescent="0.2">
      <c r="A592" s="2">
        <v>8</v>
      </c>
      <c r="B592" s="1" t="s">
        <v>156</v>
      </c>
      <c r="C592" s="4">
        <v>34</v>
      </c>
      <c r="D592" s="8">
        <v>1.91</v>
      </c>
      <c r="E592" s="4">
        <v>26</v>
      </c>
      <c r="F592" s="8">
        <v>2.5499999999999998</v>
      </c>
      <c r="G592" s="4">
        <v>8</v>
      </c>
      <c r="H592" s="8">
        <v>1.07</v>
      </c>
      <c r="I592" s="4">
        <v>0</v>
      </c>
    </row>
    <row r="593" spans="1:9" x14ac:dyDescent="0.2">
      <c r="A593" s="2">
        <v>9</v>
      </c>
      <c r="B593" s="1" t="s">
        <v>202</v>
      </c>
      <c r="C593" s="4">
        <v>33</v>
      </c>
      <c r="D593" s="8">
        <v>1.85</v>
      </c>
      <c r="E593" s="4">
        <v>13</v>
      </c>
      <c r="F593" s="8">
        <v>1.27</v>
      </c>
      <c r="G593" s="4">
        <v>20</v>
      </c>
      <c r="H593" s="8">
        <v>2.67</v>
      </c>
      <c r="I593" s="4">
        <v>0</v>
      </c>
    </row>
    <row r="594" spans="1:9" x14ac:dyDescent="0.2">
      <c r="A594" s="2">
        <v>9</v>
      </c>
      <c r="B594" s="1" t="s">
        <v>167</v>
      </c>
      <c r="C594" s="4">
        <v>33</v>
      </c>
      <c r="D594" s="8">
        <v>1.85</v>
      </c>
      <c r="E594" s="4">
        <v>33</v>
      </c>
      <c r="F594" s="8">
        <v>3.24</v>
      </c>
      <c r="G594" s="4">
        <v>0</v>
      </c>
      <c r="H594" s="8">
        <v>0</v>
      </c>
      <c r="I594" s="4">
        <v>0</v>
      </c>
    </row>
    <row r="595" spans="1:9" x14ac:dyDescent="0.2">
      <c r="A595" s="2">
        <v>11</v>
      </c>
      <c r="B595" s="1" t="s">
        <v>154</v>
      </c>
      <c r="C595" s="4">
        <v>32</v>
      </c>
      <c r="D595" s="8">
        <v>1.8</v>
      </c>
      <c r="E595" s="4">
        <v>11</v>
      </c>
      <c r="F595" s="8">
        <v>1.08</v>
      </c>
      <c r="G595" s="4">
        <v>21</v>
      </c>
      <c r="H595" s="8">
        <v>2.81</v>
      </c>
      <c r="I595" s="4">
        <v>0</v>
      </c>
    </row>
    <row r="596" spans="1:9" x14ac:dyDescent="0.2">
      <c r="A596" s="2">
        <v>11</v>
      </c>
      <c r="B596" s="1" t="s">
        <v>197</v>
      </c>
      <c r="C596" s="4">
        <v>32</v>
      </c>
      <c r="D596" s="8">
        <v>1.8</v>
      </c>
      <c r="E596" s="4">
        <v>14</v>
      </c>
      <c r="F596" s="8">
        <v>1.37</v>
      </c>
      <c r="G596" s="4">
        <v>18</v>
      </c>
      <c r="H596" s="8">
        <v>2.41</v>
      </c>
      <c r="I596" s="4">
        <v>0</v>
      </c>
    </row>
    <row r="597" spans="1:9" x14ac:dyDescent="0.2">
      <c r="A597" s="2">
        <v>13</v>
      </c>
      <c r="B597" s="1" t="s">
        <v>188</v>
      </c>
      <c r="C597" s="4">
        <v>31</v>
      </c>
      <c r="D597" s="8">
        <v>1.74</v>
      </c>
      <c r="E597" s="4">
        <v>27</v>
      </c>
      <c r="F597" s="8">
        <v>2.65</v>
      </c>
      <c r="G597" s="4">
        <v>4</v>
      </c>
      <c r="H597" s="8">
        <v>0.53</v>
      </c>
      <c r="I597" s="4">
        <v>0</v>
      </c>
    </row>
    <row r="598" spans="1:9" x14ac:dyDescent="0.2">
      <c r="A598" s="2">
        <v>14</v>
      </c>
      <c r="B598" s="1" t="s">
        <v>153</v>
      </c>
      <c r="C598" s="4">
        <v>30</v>
      </c>
      <c r="D598" s="8">
        <v>1.69</v>
      </c>
      <c r="E598" s="4">
        <v>8</v>
      </c>
      <c r="F598" s="8">
        <v>0.78</v>
      </c>
      <c r="G598" s="4">
        <v>22</v>
      </c>
      <c r="H598" s="8">
        <v>2.94</v>
      </c>
      <c r="I598" s="4">
        <v>0</v>
      </c>
    </row>
    <row r="599" spans="1:9" x14ac:dyDescent="0.2">
      <c r="A599" s="2">
        <v>14</v>
      </c>
      <c r="B599" s="1" t="s">
        <v>166</v>
      </c>
      <c r="C599" s="4">
        <v>30</v>
      </c>
      <c r="D599" s="8">
        <v>1.69</v>
      </c>
      <c r="E599" s="4">
        <v>20</v>
      </c>
      <c r="F599" s="8">
        <v>1.96</v>
      </c>
      <c r="G599" s="4">
        <v>10</v>
      </c>
      <c r="H599" s="8">
        <v>1.34</v>
      </c>
      <c r="I599" s="4">
        <v>0</v>
      </c>
    </row>
    <row r="600" spans="1:9" x14ac:dyDescent="0.2">
      <c r="A600" s="2">
        <v>16</v>
      </c>
      <c r="B600" s="1" t="s">
        <v>186</v>
      </c>
      <c r="C600" s="4">
        <v>27</v>
      </c>
      <c r="D600" s="8">
        <v>1.52</v>
      </c>
      <c r="E600" s="4">
        <v>18</v>
      </c>
      <c r="F600" s="8">
        <v>1.76</v>
      </c>
      <c r="G600" s="4">
        <v>9</v>
      </c>
      <c r="H600" s="8">
        <v>1.2</v>
      </c>
      <c r="I600" s="4">
        <v>0</v>
      </c>
    </row>
    <row r="601" spans="1:9" x14ac:dyDescent="0.2">
      <c r="A601" s="2">
        <v>17</v>
      </c>
      <c r="B601" s="1" t="s">
        <v>196</v>
      </c>
      <c r="C601" s="4">
        <v>26</v>
      </c>
      <c r="D601" s="8">
        <v>1.46</v>
      </c>
      <c r="E601" s="4">
        <v>6</v>
      </c>
      <c r="F601" s="8">
        <v>0.59</v>
      </c>
      <c r="G601" s="4">
        <v>20</v>
      </c>
      <c r="H601" s="8">
        <v>2.67</v>
      </c>
      <c r="I601" s="4">
        <v>0</v>
      </c>
    </row>
    <row r="602" spans="1:9" x14ac:dyDescent="0.2">
      <c r="A602" s="2">
        <v>18</v>
      </c>
      <c r="B602" s="1" t="s">
        <v>160</v>
      </c>
      <c r="C602" s="4">
        <v>24</v>
      </c>
      <c r="D602" s="8">
        <v>1.35</v>
      </c>
      <c r="E602" s="4">
        <v>4</v>
      </c>
      <c r="F602" s="8">
        <v>0.39</v>
      </c>
      <c r="G602" s="4">
        <v>20</v>
      </c>
      <c r="H602" s="8">
        <v>2.67</v>
      </c>
      <c r="I602" s="4">
        <v>0</v>
      </c>
    </row>
    <row r="603" spans="1:9" x14ac:dyDescent="0.2">
      <c r="A603" s="2">
        <v>19</v>
      </c>
      <c r="B603" s="1" t="s">
        <v>162</v>
      </c>
      <c r="C603" s="4">
        <v>22</v>
      </c>
      <c r="D603" s="8">
        <v>1.24</v>
      </c>
      <c r="E603" s="4">
        <v>19</v>
      </c>
      <c r="F603" s="8">
        <v>1.86</v>
      </c>
      <c r="G603" s="4">
        <v>3</v>
      </c>
      <c r="H603" s="8">
        <v>0.4</v>
      </c>
      <c r="I603" s="4">
        <v>0</v>
      </c>
    </row>
    <row r="604" spans="1:9" x14ac:dyDescent="0.2">
      <c r="A604" s="2">
        <v>19</v>
      </c>
      <c r="B604" s="1" t="s">
        <v>165</v>
      </c>
      <c r="C604" s="4">
        <v>22</v>
      </c>
      <c r="D604" s="8">
        <v>1.24</v>
      </c>
      <c r="E604" s="4">
        <v>21</v>
      </c>
      <c r="F604" s="8">
        <v>2.06</v>
      </c>
      <c r="G604" s="4">
        <v>1</v>
      </c>
      <c r="H604" s="8">
        <v>0.13</v>
      </c>
      <c r="I604" s="4">
        <v>0</v>
      </c>
    </row>
    <row r="605" spans="1:9" x14ac:dyDescent="0.2">
      <c r="A605" s="1"/>
      <c r="C605" s="4"/>
      <c r="D605" s="8"/>
      <c r="E605" s="4"/>
      <c r="F605" s="8"/>
      <c r="G605" s="4"/>
      <c r="H605" s="8"/>
      <c r="I605" s="4"/>
    </row>
    <row r="606" spans="1:9" x14ac:dyDescent="0.2">
      <c r="A606" s="1" t="s">
        <v>27</v>
      </c>
      <c r="C606" s="4"/>
      <c r="D606" s="8"/>
      <c r="E606" s="4"/>
      <c r="F606" s="8"/>
      <c r="G606" s="4"/>
      <c r="H606" s="8"/>
      <c r="I606" s="4"/>
    </row>
    <row r="607" spans="1:9" x14ac:dyDescent="0.2">
      <c r="A607" s="2">
        <v>1</v>
      </c>
      <c r="B607" s="1" t="s">
        <v>161</v>
      </c>
      <c r="C607" s="4">
        <v>127</v>
      </c>
      <c r="D607" s="8">
        <v>4.78</v>
      </c>
      <c r="E607" s="4">
        <v>61</v>
      </c>
      <c r="F607" s="8">
        <v>5.17</v>
      </c>
      <c r="G607" s="4">
        <v>66</v>
      </c>
      <c r="H607" s="8">
        <v>4.49</v>
      </c>
      <c r="I607" s="4">
        <v>0</v>
      </c>
    </row>
    <row r="608" spans="1:9" x14ac:dyDescent="0.2">
      <c r="A608" s="2">
        <v>2</v>
      </c>
      <c r="B608" s="1" t="s">
        <v>168</v>
      </c>
      <c r="C608" s="4">
        <v>112</v>
      </c>
      <c r="D608" s="8">
        <v>4.22</v>
      </c>
      <c r="E608" s="4">
        <v>87</v>
      </c>
      <c r="F608" s="8">
        <v>7.37</v>
      </c>
      <c r="G608" s="4">
        <v>25</v>
      </c>
      <c r="H608" s="8">
        <v>1.7</v>
      </c>
      <c r="I608" s="4">
        <v>0</v>
      </c>
    </row>
    <row r="609" spans="1:9" x14ac:dyDescent="0.2">
      <c r="A609" s="2">
        <v>3</v>
      </c>
      <c r="B609" s="1" t="s">
        <v>170</v>
      </c>
      <c r="C609" s="4">
        <v>84</v>
      </c>
      <c r="D609" s="8">
        <v>3.16</v>
      </c>
      <c r="E609" s="4">
        <v>65</v>
      </c>
      <c r="F609" s="8">
        <v>5.51</v>
      </c>
      <c r="G609" s="4">
        <v>18</v>
      </c>
      <c r="H609" s="8">
        <v>1.22</v>
      </c>
      <c r="I609" s="4">
        <v>1</v>
      </c>
    </row>
    <row r="610" spans="1:9" x14ac:dyDescent="0.2">
      <c r="A610" s="2">
        <v>4</v>
      </c>
      <c r="B610" s="1" t="s">
        <v>167</v>
      </c>
      <c r="C610" s="4">
        <v>81</v>
      </c>
      <c r="D610" s="8">
        <v>3.05</v>
      </c>
      <c r="E610" s="4">
        <v>73</v>
      </c>
      <c r="F610" s="8">
        <v>6.19</v>
      </c>
      <c r="G610" s="4">
        <v>8</v>
      </c>
      <c r="H610" s="8">
        <v>0.54</v>
      </c>
      <c r="I610" s="4">
        <v>0</v>
      </c>
    </row>
    <row r="611" spans="1:9" x14ac:dyDescent="0.2">
      <c r="A611" s="2">
        <v>5</v>
      </c>
      <c r="B611" s="1" t="s">
        <v>164</v>
      </c>
      <c r="C611" s="4">
        <v>76</v>
      </c>
      <c r="D611" s="8">
        <v>2.86</v>
      </c>
      <c r="E611" s="4">
        <v>64</v>
      </c>
      <c r="F611" s="8">
        <v>5.42</v>
      </c>
      <c r="G611" s="4">
        <v>12</v>
      </c>
      <c r="H611" s="8">
        <v>0.82</v>
      </c>
      <c r="I611" s="4">
        <v>0</v>
      </c>
    </row>
    <row r="612" spans="1:9" x14ac:dyDescent="0.2">
      <c r="A612" s="2">
        <v>6</v>
      </c>
      <c r="B612" s="1" t="s">
        <v>171</v>
      </c>
      <c r="C612" s="4">
        <v>71</v>
      </c>
      <c r="D612" s="8">
        <v>2.67</v>
      </c>
      <c r="E612" s="4">
        <v>61</v>
      </c>
      <c r="F612" s="8">
        <v>5.17</v>
      </c>
      <c r="G612" s="4">
        <v>10</v>
      </c>
      <c r="H612" s="8">
        <v>0.68</v>
      </c>
      <c r="I612" s="4">
        <v>0</v>
      </c>
    </row>
    <row r="613" spans="1:9" x14ac:dyDescent="0.2">
      <c r="A613" s="2">
        <v>7</v>
      </c>
      <c r="B613" s="1" t="s">
        <v>163</v>
      </c>
      <c r="C613" s="4">
        <v>61</v>
      </c>
      <c r="D613" s="8">
        <v>2.2999999999999998</v>
      </c>
      <c r="E613" s="4">
        <v>44</v>
      </c>
      <c r="F613" s="8">
        <v>3.73</v>
      </c>
      <c r="G613" s="4">
        <v>17</v>
      </c>
      <c r="H613" s="8">
        <v>1.1599999999999999</v>
      </c>
      <c r="I613" s="4">
        <v>0</v>
      </c>
    </row>
    <row r="614" spans="1:9" x14ac:dyDescent="0.2">
      <c r="A614" s="2">
        <v>8</v>
      </c>
      <c r="B614" s="1" t="s">
        <v>176</v>
      </c>
      <c r="C614" s="4">
        <v>58</v>
      </c>
      <c r="D614" s="8">
        <v>2.1800000000000002</v>
      </c>
      <c r="E614" s="4">
        <v>50</v>
      </c>
      <c r="F614" s="8">
        <v>4.24</v>
      </c>
      <c r="G614" s="4">
        <v>8</v>
      </c>
      <c r="H614" s="8">
        <v>0.54</v>
      </c>
      <c r="I614" s="4">
        <v>0</v>
      </c>
    </row>
    <row r="615" spans="1:9" x14ac:dyDescent="0.2">
      <c r="A615" s="2">
        <v>9</v>
      </c>
      <c r="B615" s="1" t="s">
        <v>160</v>
      </c>
      <c r="C615" s="4">
        <v>55</v>
      </c>
      <c r="D615" s="8">
        <v>2.0699999999999998</v>
      </c>
      <c r="E615" s="4">
        <v>3</v>
      </c>
      <c r="F615" s="8">
        <v>0.25</v>
      </c>
      <c r="G615" s="4">
        <v>52</v>
      </c>
      <c r="H615" s="8">
        <v>3.54</v>
      </c>
      <c r="I615" s="4">
        <v>0</v>
      </c>
    </row>
    <row r="616" spans="1:9" x14ac:dyDescent="0.2">
      <c r="A616" s="2">
        <v>10</v>
      </c>
      <c r="B616" s="1" t="s">
        <v>156</v>
      </c>
      <c r="C616" s="4">
        <v>54</v>
      </c>
      <c r="D616" s="8">
        <v>2.0299999999999998</v>
      </c>
      <c r="E616" s="4">
        <v>28</v>
      </c>
      <c r="F616" s="8">
        <v>2.37</v>
      </c>
      <c r="G616" s="4">
        <v>26</v>
      </c>
      <c r="H616" s="8">
        <v>1.77</v>
      </c>
      <c r="I616" s="4">
        <v>0</v>
      </c>
    </row>
    <row r="617" spans="1:9" x14ac:dyDescent="0.2">
      <c r="A617" s="2">
        <v>11</v>
      </c>
      <c r="B617" s="1" t="s">
        <v>186</v>
      </c>
      <c r="C617" s="4">
        <v>49</v>
      </c>
      <c r="D617" s="8">
        <v>1.85</v>
      </c>
      <c r="E617" s="4">
        <v>18</v>
      </c>
      <c r="F617" s="8">
        <v>1.53</v>
      </c>
      <c r="G617" s="4">
        <v>31</v>
      </c>
      <c r="H617" s="8">
        <v>2.11</v>
      </c>
      <c r="I617" s="4">
        <v>0</v>
      </c>
    </row>
    <row r="618" spans="1:9" x14ac:dyDescent="0.2">
      <c r="A618" s="2">
        <v>12</v>
      </c>
      <c r="B618" s="1" t="s">
        <v>165</v>
      </c>
      <c r="C618" s="4">
        <v>46</v>
      </c>
      <c r="D618" s="8">
        <v>1.73</v>
      </c>
      <c r="E618" s="4">
        <v>43</v>
      </c>
      <c r="F618" s="8">
        <v>3.64</v>
      </c>
      <c r="G618" s="4">
        <v>3</v>
      </c>
      <c r="H618" s="8">
        <v>0.2</v>
      </c>
      <c r="I618" s="4">
        <v>0</v>
      </c>
    </row>
    <row r="619" spans="1:9" x14ac:dyDescent="0.2">
      <c r="A619" s="2">
        <v>13</v>
      </c>
      <c r="B619" s="1" t="s">
        <v>158</v>
      </c>
      <c r="C619" s="4">
        <v>44</v>
      </c>
      <c r="D619" s="8">
        <v>1.66</v>
      </c>
      <c r="E619" s="4">
        <v>25</v>
      </c>
      <c r="F619" s="8">
        <v>2.12</v>
      </c>
      <c r="G619" s="4">
        <v>19</v>
      </c>
      <c r="H619" s="8">
        <v>1.29</v>
      </c>
      <c r="I619" s="4">
        <v>0</v>
      </c>
    </row>
    <row r="620" spans="1:9" x14ac:dyDescent="0.2">
      <c r="A620" s="2">
        <v>14</v>
      </c>
      <c r="B620" s="1" t="s">
        <v>197</v>
      </c>
      <c r="C620" s="4">
        <v>42</v>
      </c>
      <c r="D620" s="8">
        <v>1.58</v>
      </c>
      <c r="E620" s="4">
        <v>10</v>
      </c>
      <c r="F620" s="8">
        <v>0.85</v>
      </c>
      <c r="G620" s="4">
        <v>32</v>
      </c>
      <c r="H620" s="8">
        <v>2.1800000000000002</v>
      </c>
      <c r="I620" s="4">
        <v>0</v>
      </c>
    </row>
    <row r="621" spans="1:9" x14ac:dyDescent="0.2">
      <c r="A621" s="2">
        <v>15</v>
      </c>
      <c r="B621" s="1" t="s">
        <v>202</v>
      </c>
      <c r="C621" s="4">
        <v>40</v>
      </c>
      <c r="D621" s="8">
        <v>1.51</v>
      </c>
      <c r="E621" s="4">
        <v>12</v>
      </c>
      <c r="F621" s="8">
        <v>1.02</v>
      </c>
      <c r="G621" s="4">
        <v>28</v>
      </c>
      <c r="H621" s="8">
        <v>1.9</v>
      </c>
      <c r="I621" s="4">
        <v>0</v>
      </c>
    </row>
    <row r="622" spans="1:9" x14ac:dyDescent="0.2">
      <c r="A622" s="2">
        <v>16</v>
      </c>
      <c r="B622" s="1" t="s">
        <v>157</v>
      </c>
      <c r="C622" s="4">
        <v>39</v>
      </c>
      <c r="D622" s="8">
        <v>1.47</v>
      </c>
      <c r="E622" s="4">
        <v>12</v>
      </c>
      <c r="F622" s="8">
        <v>1.02</v>
      </c>
      <c r="G622" s="4">
        <v>27</v>
      </c>
      <c r="H622" s="8">
        <v>1.84</v>
      </c>
      <c r="I622" s="4">
        <v>0</v>
      </c>
    </row>
    <row r="623" spans="1:9" x14ac:dyDescent="0.2">
      <c r="A623" s="2">
        <v>17</v>
      </c>
      <c r="B623" s="1" t="s">
        <v>172</v>
      </c>
      <c r="C623" s="4">
        <v>38</v>
      </c>
      <c r="D623" s="8">
        <v>1.43</v>
      </c>
      <c r="E623" s="4">
        <v>8</v>
      </c>
      <c r="F623" s="8">
        <v>0.68</v>
      </c>
      <c r="G623" s="4">
        <v>30</v>
      </c>
      <c r="H623" s="8">
        <v>2.04</v>
      </c>
      <c r="I623" s="4">
        <v>0</v>
      </c>
    </row>
    <row r="624" spans="1:9" x14ac:dyDescent="0.2">
      <c r="A624" s="2">
        <v>18</v>
      </c>
      <c r="B624" s="1" t="s">
        <v>200</v>
      </c>
      <c r="C624" s="4">
        <v>37</v>
      </c>
      <c r="D624" s="8">
        <v>1.39</v>
      </c>
      <c r="E624" s="4">
        <v>14</v>
      </c>
      <c r="F624" s="8">
        <v>1.19</v>
      </c>
      <c r="G624" s="4">
        <v>23</v>
      </c>
      <c r="H624" s="8">
        <v>1.56</v>
      </c>
      <c r="I624" s="4">
        <v>0</v>
      </c>
    </row>
    <row r="625" spans="1:9" x14ac:dyDescent="0.2">
      <c r="A625" s="2">
        <v>19</v>
      </c>
      <c r="B625" s="1" t="s">
        <v>153</v>
      </c>
      <c r="C625" s="4">
        <v>36</v>
      </c>
      <c r="D625" s="8">
        <v>1.36</v>
      </c>
      <c r="E625" s="4">
        <v>5</v>
      </c>
      <c r="F625" s="8">
        <v>0.42</v>
      </c>
      <c r="G625" s="4">
        <v>31</v>
      </c>
      <c r="H625" s="8">
        <v>2.11</v>
      </c>
      <c r="I625" s="4">
        <v>0</v>
      </c>
    </row>
    <row r="626" spans="1:9" x14ac:dyDescent="0.2">
      <c r="A626" s="2">
        <v>20</v>
      </c>
      <c r="B626" s="1" t="s">
        <v>154</v>
      </c>
      <c r="C626" s="4">
        <v>35</v>
      </c>
      <c r="D626" s="8">
        <v>1.32</v>
      </c>
      <c r="E626" s="4">
        <v>9</v>
      </c>
      <c r="F626" s="8">
        <v>0.76</v>
      </c>
      <c r="G626" s="4">
        <v>26</v>
      </c>
      <c r="H626" s="8">
        <v>1.77</v>
      </c>
      <c r="I626" s="4">
        <v>0</v>
      </c>
    </row>
    <row r="627" spans="1:9" x14ac:dyDescent="0.2">
      <c r="A627" s="2">
        <v>20</v>
      </c>
      <c r="B627" s="1" t="s">
        <v>159</v>
      </c>
      <c r="C627" s="4">
        <v>35</v>
      </c>
      <c r="D627" s="8">
        <v>1.32</v>
      </c>
      <c r="E627" s="4">
        <v>10</v>
      </c>
      <c r="F627" s="8">
        <v>0.85</v>
      </c>
      <c r="G627" s="4">
        <v>25</v>
      </c>
      <c r="H627" s="8">
        <v>1.7</v>
      </c>
      <c r="I627" s="4">
        <v>0</v>
      </c>
    </row>
    <row r="628" spans="1:9" x14ac:dyDescent="0.2">
      <c r="A628" s="2">
        <v>20</v>
      </c>
      <c r="B628" s="1" t="s">
        <v>211</v>
      </c>
      <c r="C628" s="4">
        <v>35</v>
      </c>
      <c r="D628" s="8">
        <v>1.32</v>
      </c>
      <c r="E628" s="4">
        <v>6</v>
      </c>
      <c r="F628" s="8">
        <v>0.51</v>
      </c>
      <c r="G628" s="4">
        <v>29</v>
      </c>
      <c r="H628" s="8">
        <v>1.97</v>
      </c>
      <c r="I628" s="4">
        <v>0</v>
      </c>
    </row>
    <row r="629" spans="1:9" x14ac:dyDescent="0.2">
      <c r="A629" s="1"/>
      <c r="C629" s="4"/>
      <c r="D629" s="8"/>
      <c r="E629" s="4"/>
      <c r="F629" s="8"/>
      <c r="G629" s="4"/>
      <c r="H629" s="8"/>
      <c r="I629" s="4"/>
    </row>
    <row r="630" spans="1:9" x14ac:dyDescent="0.2">
      <c r="A630" s="1" t="s">
        <v>28</v>
      </c>
      <c r="C630" s="4"/>
      <c r="D630" s="8"/>
      <c r="E630" s="4"/>
      <c r="F630" s="8"/>
      <c r="G630" s="4"/>
      <c r="H630" s="8"/>
      <c r="I630" s="4"/>
    </row>
    <row r="631" spans="1:9" x14ac:dyDescent="0.2">
      <c r="A631" s="2">
        <v>1</v>
      </c>
      <c r="B631" s="1" t="s">
        <v>168</v>
      </c>
      <c r="C631" s="4">
        <v>335</v>
      </c>
      <c r="D631" s="8">
        <v>4.9400000000000004</v>
      </c>
      <c r="E631" s="4">
        <v>285</v>
      </c>
      <c r="F631" s="8">
        <v>8.7799999999999994</v>
      </c>
      <c r="G631" s="4">
        <v>50</v>
      </c>
      <c r="H631" s="8">
        <v>1.43</v>
      </c>
      <c r="I631" s="4">
        <v>0</v>
      </c>
    </row>
    <row r="632" spans="1:9" x14ac:dyDescent="0.2">
      <c r="A632" s="2">
        <v>2</v>
      </c>
      <c r="B632" s="1" t="s">
        <v>161</v>
      </c>
      <c r="C632" s="4">
        <v>330</v>
      </c>
      <c r="D632" s="8">
        <v>4.87</v>
      </c>
      <c r="E632" s="4">
        <v>179</v>
      </c>
      <c r="F632" s="8">
        <v>5.51</v>
      </c>
      <c r="G632" s="4">
        <v>151</v>
      </c>
      <c r="H632" s="8">
        <v>4.32</v>
      </c>
      <c r="I632" s="4">
        <v>0</v>
      </c>
    </row>
    <row r="633" spans="1:9" x14ac:dyDescent="0.2">
      <c r="A633" s="2">
        <v>3</v>
      </c>
      <c r="B633" s="1" t="s">
        <v>167</v>
      </c>
      <c r="C633" s="4">
        <v>265</v>
      </c>
      <c r="D633" s="8">
        <v>3.91</v>
      </c>
      <c r="E633" s="4">
        <v>259</v>
      </c>
      <c r="F633" s="8">
        <v>7.98</v>
      </c>
      <c r="G633" s="4">
        <v>6</v>
      </c>
      <c r="H633" s="8">
        <v>0.17</v>
      </c>
      <c r="I633" s="4">
        <v>0</v>
      </c>
    </row>
    <row r="634" spans="1:9" x14ac:dyDescent="0.2">
      <c r="A634" s="2">
        <v>4</v>
      </c>
      <c r="B634" s="1" t="s">
        <v>170</v>
      </c>
      <c r="C634" s="4">
        <v>191</v>
      </c>
      <c r="D634" s="8">
        <v>2.82</v>
      </c>
      <c r="E634" s="4">
        <v>145</v>
      </c>
      <c r="F634" s="8">
        <v>4.47</v>
      </c>
      <c r="G634" s="4">
        <v>44</v>
      </c>
      <c r="H634" s="8">
        <v>1.26</v>
      </c>
      <c r="I634" s="4">
        <v>2</v>
      </c>
    </row>
    <row r="635" spans="1:9" x14ac:dyDescent="0.2">
      <c r="A635" s="2">
        <v>5</v>
      </c>
      <c r="B635" s="1" t="s">
        <v>163</v>
      </c>
      <c r="C635" s="4">
        <v>184</v>
      </c>
      <c r="D635" s="8">
        <v>2.71</v>
      </c>
      <c r="E635" s="4">
        <v>136</v>
      </c>
      <c r="F635" s="8">
        <v>4.1900000000000004</v>
      </c>
      <c r="G635" s="4">
        <v>48</v>
      </c>
      <c r="H635" s="8">
        <v>1.37</v>
      </c>
      <c r="I635" s="4">
        <v>0</v>
      </c>
    </row>
    <row r="636" spans="1:9" x14ac:dyDescent="0.2">
      <c r="A636" s="2">
        <v>6</v>
      </c>
      <c r="B636" s="1" t="s">
        <v>165</v>
      </c>
      <c r="C636" s="4">
        <v>182</v>
      </c>
      <c r="D636" s="8">
        <v>2.68</v>
      </c>
      <c r="E636" s="4">
        <v>165</v>
      </c>
      <c r="F636" s="8">
        <v>5.08</v>
      </c>
      <c r="G636" s="4">
        <v>17</v>
      </c>
      <c r="H636" s="8">
        <v>0.49</v>
      </c>
      <c r="I636" s="4">
        <v>0</v>
      </c>
    </row>
    <row r="637" spans="1:9" x14ac:dyDescent="0.2">
      <c r="A637" s="2">
        <v>7</v>
      </c>
      <c r="B637" s="1" t="s">
        <v>171</v>
      </c>
      <c r="C637" s="4">
        <v>155</v>
      </c>
      <c r="D637" s="8">
        <v>2.29</v>
      </c>
      <c r="E637" s="4">
        <v>138</v>
      </c>
      <c r="F637" s="8">
        <v>4.25</v>
      </c>
      <c r="G637" s="4">
        <v>17</v>
      </c>
      <c r="H637" s="8">
        <v>0.49</v>
      </c>
      <c r="I637" s="4">
        <v>0</v>
      </c>
    </row>
    <row r="638" spans="1:9" x14ac:dyDescent="0.2">
      <c r="A638" s="2">
        <v>8</v>
      </c>
      <c r="B638" s="1" t="s">
        <v>164</v>
      </c>
      <c r="C638" s="4">
        <v>153</v>
      </c>
      <c r="D638" s="8">
        <v>2.2599999999999998</v>
      </c>
      <c r="E638" s="4">
        <v>134</v>
      </c>
      <c r="F638" s="8">
        <v>4.13</v>
      </c>
      <c r="G638" s="4">
        <v>19</v>
      </c>
      <c r="H638" s="8">
        <v>0.54</v>
      </c>
      <c r="I638" s="4">
        <v>0</v>
      </c>
    </row>
    <row r="639" spans="1:9" x14ac:dyDescent="0.2">
      <c r="A639" s="2">
        <v>9</v>
      </c>
      <c r="B639" s="1" t="s">
        <v>156</v>
      </c>
      <c r="C639" s="4">
        <v>151</v>
      </c>
      <c r="D639" s="8">
        <v>2.23</v>
      </c>
      <c r="E639" s="4">
        <v>70</v>
      </c>
      <c r="F639" s="8">
        <v>2.16</v>
      </c>
      <c r="G639" s="4">
        <v>81</v>
      </c>
      <c r="H639" s="8">
        <v>2.3199999999999998</v>
      </c>
      <c r="I639" s="4">
        <v>0</v>
      </c>
    </row>
    <row r="640" spans="1:9" x14ac:dyDescent="0.2">
      <c r="A640" s="2">
        <v>10</v>
      </c>
      <c r="B640" s="1" t="s">
        <v>205</v>
      </c>
      <c r="C640" s="4">
        <v>127</v>
      </c>
      <c r="D640" s="8">
        <v>1.87</v>
      </c>
      <c r="E640" s="4">
        <v>50</v>
      </c>
      <c r="F640" s="8">
        <v>1.54</v>
      </c>
      <c r="G640" s="4">
        <v>77</v>
      </c>
      <c r="H640" s="8">
        <v>2.2000000000000002</v>
      </c>
      <c r="I640" s="4">
        <v>0</v>
      </c>
    </row>
    <row r="641" spans="1:9" x14ac:dyDescent="0.2">
      <c r="A641" s="2">
        <v>11</v>
      </c>
      <c r="B641" s="1" t="s">
        <v>154</v>
      </c>
      <c r="C641" s="4">
        <v>122</v>
      </c>
      <c r="D641" s="8">
        <v>1.8</v>
      </c>
      <c r="E641" s="4">
        <v>30</v>
      </c>
      <c r="F641" s="8">
        <v>0.92</v>
      </c>
      <c r="G641" s="4">
        <v>92</v>
      </c>
      <c r="H641" s="8">
        <v>2.63</v>
      </c>
      <c r="I641" s="4">
        <v>0</v>
      </c>
    </row>
    <row r="642" spans="1:9" x14ac:dyDescent="0.2">
      <c r="A642" s="2">
        <v>12</v>
      </c>
      <c r="B642" s="1" t="s">
        <v>153</v>
      </c>
      <c r="C642" s="4">
        <v>121</v>
      </c>
      <c r="D642" s="8">
        <v>1.78</v>
      </c>
      <c r="E642" s="4">
        <v>18</v>
      </c>
      <c r="F642" s="8">
        <v>0.55000000000000004</v>
      </c>
      <c r="G642" s="4">
        <v>103</v>
      </c>
      <c r="H642" s="8">
        <v>2.94</v>
      </c>
      <c r="I642" s="4">
        <v>0</v>
      </c>
    </row>
    <row r="643" spans="1:9" x14ac:dyDescent="0.2">
      <c r="A643" s="2">
        <v>13</v>
      </c>
      <c r="B643" s="1" t="s">
        <v>152</v>
      </c>
      <c r="C643" s="4">
        <v>116</v>
      </c>
      <c r="D643" s="8">
        <v>1.71</v>
      </c>
      <c r="E643" s="4">
        <v>26</v>
      </c>
      <c r="F643" s="8">
        <v>0.8</v>
      </c>
      <c r="G643" s="4">
        <v>90</v>
      </c>
      <c r="H643" s="8">
        <v>2.57</v>
      </c>
      <c r="I643" s="4">
        <v>0</v>
      </c>
    </row>
    <row r="644" spans="1:9" x14ac:dyDescent="0.2">
      <c r="A644" s="2">
        <v>14</v>
      </c>
      <c r="B644" s="1" t="s">
        <v>155</v>
      </c>
      <c r="C644" s="4">
        <v>113</v>
      </c>
      <c r="D644" s="8">
        <v>1.67</v>
      </c>
      <c r="E644" s="4">
        <v>20</v>
      </c>
      <c r="F644" s="8">
        <v>0.62</v>
      </c>
      <c r="G644" s="4">
        <v>93</v>
      </c>
      <c r="H644" s="8">
        <v>2.66</v>
      </c>
      <c r="I644" s="4">
        <v>0</v>
      </c>
    </row>
    <row r="645" spans="1:9" x14ac:dyDescent="0.2">
      <c r="A645" s="2">
        <v>15</v>
      </c>
      <c r="B645" s="1" t="s">
        <v>160</v>
      </c>
      <c r="C645" s="4">
        <v>110</v>
      </c>
      <c r="D645" s="8">
        <v>1.62</v>
      </c>
      <c r="E645" s="4">
        <v>11</v>
      </c>
      <c r="F645" s="8">
        <v>0.34</v>
      </c>
      <c r="G645" s="4">
        <v>99</v>
      </c>
      <c r="H645" s="8">
        <v>2.83</v>
      </c>
      <c r="I645" s="4">
        <v>0</v>
      </c>
    </row>
    <row r="646" spans="1:9" x14ac:dyDescent="0.2">
      <c r="A646" s="2">
        <v>16</v>
      </c>
      <c r="B646" s="1" t="s">
        <v>186</v>
      </c>
      <c r="C646" s="4">
        <v>102</v>
      </c>
      <c r="D646" s="8">
        <v>1.5</v>
      </c>
      <c r="E646" s="4">
        <v>38</v>
      </c>
      <c r="F646" s="8">
        <v>1.17</v>
      </c>
      <c r="G646" s="4">
        <v>64</v>
      </c>
      <c r="H646" s="8">
        <v>1.83</v>
      </c>
      <c r="I646" s="4">
        <v>0</v>
      </c>
    </row>
    <row r="647" spans="1:9" x14ac:dyDescent="0.2">
      <c r="A647" s="2">
        <v>17</v>
      </c>
      <c r="B647" s="1" t="s">
        <v>157</v>
      </c>
      <c r="C647" s="4">
        <v>100</v>
      </c>
      <c r="D647" s="8">
        <v>1.47</v>
      </c>
      <c r="E647" s="4">
        <v>46</v>
      </c>
      <c r="F647" s="8">
        <v>1.42</v>
      </c>
      <c r="G647" s="4">
        <v>54</v>
      </c>
      <c r="H647" s="8">
        <v>1.54</v>
      </c>
      <c r="I647" s="4">
        <v>0</v>
      </c>
    </row>
    <row r="648" spans="1:9" x14ac:dyDescent="0.2">
      <c r="A648" s="2">
        <v>17</v>
      </c>
      <c r="B648" s="1" t="s">
        <v>158</v>
      </c>
      <c r="C648" s="4">
        <v>100</v>
      </c>
      <c r="D648" s="8">
        <v>1.47</v>
      </c>
      <c r="E648" s="4">
        <v>64</v>
      </c>
      <c r="F648" s="8">
        <v>1.97</v>
      </c>
      <c r="G648" s="4">
        <v>36</v>
      </c>
      <c r="H648" s="8">
        <v>1.03</v>
      </c>
      <c r="I648" s="4">
        <v>0</v>
      </c>
    </row>
    <row r="649" spans="1:9" x14ac:dyDescent="0.2">
      <c r="A649" s="2">
        <v>17</v>
      </c>
      <c r="B649" s="1" t="s">
        <v>166</v>
      </c>
      <c r="C649" s="4">
        <v>100</v>
      </c>
      <c r="D649" s="8">
        <v>1.47</v>
      </c>
      <c r="E649" s="4">
        <v>55</v>
      </c>
      <c r="F649" s="8">
        <v>1.69</v>
      </c>
      <c r="G649" s="4">
        <v>45</v>
      </c>
      <c r="H649" s="8">
        <v>1.29</v>
      </c>
      <c r="I649" s="4">
        <v>0</v>
      </c>
    </row>
    <row r="650" spans="1:9" x14ac:dyDescent="0.2">
      <c r="A650" s="2">
        <v>20</v>
      </c>
      <c r="B650" s="1" t="s">
        <v>169</v>
      </c>
      <c r="C650" s="4">
        <v>98</v>
      </c>
      <c r="D650" s="8">
        <v>1.45</v>
      </c>
      <c r="E650" s="4">
        <v>62</v>
      </c>
      <c r="F650" s="8">
        <v>1.91</v>
      </c>
      <c r="G650" s="4">
        <v>35</v>
      </c>
      <c r="H650" s="8">
        <v>1</v>
      </c>
      <c r="I650" s="4">
        <v>1</v>
      </c>
    </row>
    <row r="651" spans="1:9" x14ac:dyDescent="0.2">
      <c r="A651" s="2">
        <v>20</v>
      </c>
      <c r="B651" s="1" t="s">
        <v>188</v>
      </c>
      <c r="C651" s="4">
        <v>98</v>
      </c>
      <c r="D651" s="8">
        <v>1.45</v>
      </c>
      <c r="E651" s="4">
        <v>65</v>
      </c>
      <c r="F651" s="8">
        <v>2</v>
      </c>
      <c r="G651" s="4">
        <v>33</v>
      </c>
      <c r="H651" s="8">
        <v>0.94</v>
      </c>
      <c r="I651" s="4">
        <v>0</v>
      </c>
    </row>
    <row r="652" spans="1:9" x14ac:dyDescent="0.2">
      <c r="A652" s="1"/>
      <c r="C652" s="4"/>
      <c r="D652" s="8"/>
      <c r="E652" s="4"/>
      <c r="F652" s="8"/>
      <c r="G652" s="4"/>
      <c r="H652" s="8"/>
      <c r="I652" s="4"/>
    </row>
    <row r="653" spans="1:9" x14ac:dyDescent="0.2">
      <c r="A653" s="1" t="s">
        <v>29</v>
      </c>
      <c r="C653" s="4"/>
      <c r="D653" s="8"/>
      <c r="E653" s="4"/>
      <c r="F653" s="8"/>
      <c r="G653" s="4"/>
      <c r="H653" s="8"/>
      <c r="I653" s="4"/>
    </row>
    <row r="654" spans="1:9" x14ac:dyDescent="0.2">
      <c r="A654" s="2">
        <v>1</v>
      </c>
      <c r="B654" s="1" t="s">
        <v>161</v>
      </c>
      <c r="C654" s="4">
        <v>252</v>
      </c>
      <c r="D654" s="8">
        <v>7.33</v>
      </c>
      <c r="E654" s="4">
        <v>174</v>
      </c>
      <c r="F654" s="8">
        <v>9.66</v>
      </c>
      <c r="G654" s="4">
        <v>78</v>
      </c>
      <c r="H654" s="8">
        <v>4.79</v>
      </c>
      <c r="I654" s="4">
        <v>0</v>
      </c>
    </row>
    <row r="655" spans="1:9" x14ac:dyDescent="0.2">
      <c r="A655" s="2">
        <v>2</v>
      </c>
      <c r="B655" s="1" t="s">
        <v>168</v>
      </c>
      <c r="C655" s="4">
        <v>182</v>
      </c>
      <c r="D655" s="8">
        <v>5.29</v>
      </c>
      <c r="E655" s="4">
        <v>157</v>
      </c>
      <c r="F655" s="8">
        <v>8.7200000000000006</v>
      </c>
      <c r="G655" s="4">
        <v>25</v>
      </c>
      <c r="H655" s="8">
        <v>1.54</v>
      </c>
      <c r="I655" s="4">
        <v>0</v>
      </c>
    </row>
    <row r="656" spans="1:9" x14ac:dyDescent="0.2">
      <c r="A656" s="2">
        <v>3</v>
      </c>
      <c r="B656" s="1" t="s">
        <v>170</v>
      </c>
      <c r="C656" s="4">
        <v>139</v>
      </c>
      <c r="D656" s="8">
        <v>4.04</v>
      </c>
      <c r="E656" s="4">
        <v>115</v>
      </c>
      <c r="F656" s="8">
        <v>6.39</v>
      </c>
      <c r="G656" s="4">
        <v>23</v>
      </c>
      <c r="H656" s="8">
        <v>1.41</v>
      </c>
      <c r="I656" s="4">
        <v>0</v>
      </c>
    </row>
    <row r="657" spans="1:9" x14ac:dyDescent="0.2">
      <c r="A657" s="2">
        <v>4</v>
      </c>
      <c r="B657" s="1" t="s">
        <v>164</v>
      </c>
      <c r="C657" s="4">
        <v>91</v>
      </c>
      <c r="D657" s="8">
        <v>2.65</v>
      </c>
      <c r="E657" s="4">
        <v>88</v>
      </c>
      <c r="F657" s="8">
        <v>4.8899999999999997</v>
      </c>
      <c r="G657" s="4">
        <v>3</v>
      </c>
      <c r="H657" s="8">
        <v>0.18</v>
      </c>
      <c r="I657" s="4">
        <v>0</v>
      </c>
    </row>
    <row r="658" spans="1:9" x14ac:dyDescent="0.2">
      <c r="A658" s="2">
        <v>5</v>
      </c>
      <c r="B658" s="1" t="s">
        <v>171</v>
      </c>
      <c r="C658" s="4">
        <v>89</v>
      </c>
      <c r="D658" s="8">
        <v>2.59</v>
      </c>
      <c r="E658" s="4">
        <v>81</v>
      </c>
      <c r="F658" s="8">
        <v>4.5</v>
      </c>
      <c r="G658" s="4">
        <v>8</v>
      </c>
      <c r="H658" s="8">
        <v>0.49</v>
      </c>
      <c r="I658" s="4">
        <v>0</v>
      </c>
    </row>
    <row r="659" spans="1:9" x14ac:dyDescent="0.2">
      <c r="A659" s="2">
        <v>6</v>
      </c>
      <c r="B659" s="1" t="s">
        <v>156</v>
      </c>
      <c r="C659" s="4">
        <v>83</v>
      </c>
      <c r="D659" s="8">
        <v>2.41</v>
      </c>
      <c r="E659" s="4">
        <v>31</v>
      </c>
      <c r="F659" s="8">
        <v>1.72</v>
      </c>
      <c r="G659" s="4">
        <v>52</v>
      </c>
      <c r="H659" s="8">
        <v>3.19</v>
      </c>
      <c r="I659" s="4">
        <v>0</v>
      </c>
    </row>
    <row r="660" spans="1:9" x14ac:dyDescent="0.2">
      <c r="A660" s="2">
        <v>7</v>
      </c>
      <c r="B660" s="1" t="s">
        <v>167</v>
      </c>
      <c r="C660" s="4">
        <v>76</v>
      </c>
      <c r="D660" s="8">
        <v>2.21</v>
      </c>
      <c r="E660" s="4">
        <v>75</v>
      </c>
      <c r="F660" s="8">
        <v>4.16</v>
      </c>
      <c r="G660" s="4">
        <v>1</v>
      </c>
      <c r="H660" s="8">
        <v>0.06</v>
      </c>
      <c r="I660" s="4">
        <v>0</v>
      </c>
    </row>
    <row r="661" spans="1:9" x14ac:dyDescent="0.2">
      <c r="A661" s="2">
        <v>8</v>
      </c>
      <c r="B661" s="1" t="s">
        <v>163</v>
      </c>
      <c r="C661" s="4">
        <v>75</v>
      </c>
      <c r="D661" s="8">
        <v>2.1800000000000002</v>
      </c>
      <c r="E661" s="4">
        <v>50</v>
      </c>
      <c r="F661" s="8">
        <v>2.78</v>
      </c>
      <c r="G661" s="4">
        <v>25</v>
      </c>
      <c r="H661" s="8">
        <v>1.54</v>
      </c>
      <c r="I661" s="4">
        <v>0</v>
      </c>
    </row>
    <row r="662" spans="1:9" x14ac:dyDescent="0.2">
      <c r="A662" s="2">
        <v>9</v>
      </c>
      <c r="B662" s="1" t="s">
        <v>165</v>
      </c>
      <c r="C662" s="4">
        <v>67</v>
      </c>
      <c r="D662" s="8">
        <v>1.95</v>
      </c>
      <c r="E662" s="4">
        <v>61</v>
      </c>
      <c r="F662" s="8">
        <v>3.39</v>
      </c>
      <c r="G662" s="4">
        <v>6</v>
      </c>
      <c r="H662" s="8">
        <v>0.37</v>
      </c>
      <c r="I662" s="4">
        <v>0</v>
      </c>
    </row>
    <row r="663" spans="1:9" x14ac:dyDescent="0.2">
      <c r="A663" s="2">
        <v>10</v>
      </c>
      <c r="B663" s="1" t="s">
        <v>160</v>
      </c>
      <c r="C663" s="4">
        <v>61</v>
      </c>
      <c r="D663" s="8">
        <v>1.77</v>
      </c>
      <c r="E663" s="4">
        <v>12</v>
      </c>
      <c r="F663" s="8">
        <v>0.67</v>
      </c>
      <c r="G663" s="4">
        <v>49</v>
      </c>
      <c r="H663" s="8">
        <v>3.01</v>
      </c>
      <c r="I663" s="4">
        <v>0</v>
      </c>
    </row>
    <row r="664" spans="1:9" x14ac:dyDescent="0.2">
      <c r="A664" s="2">
        <v>11</v>
      </c>
      <c r="B664" s="1" t="s">
        <v>205</v>
      </c>
      <c r="C664" s="4">
        <v>60</v>
      </c>
      <c r="D664" s="8">
        <v>1.75</v>
      </c>
      <c r="E664" s="4">
        <v>25</v>
      </c>
      <c r="F664" s="8">
        <v>1.39</v>
      </c>
      <c r="G664" s="4">
        <v>35</v>
      </c>
      <c r="H664" s="8">
        <v>2.15</v>
      </c>
      <c r="I664" s="4">
        <v>0</v>
      </c>
    </row>
    <row r="665" spans="1:9" x14ac:dyDescent="0.2">
      <c r="A665" s="2">
        <v>12</v>
      </c>
      <c r="B665" s="1" t="s">
        <v>179</v>
      </c>
      <c r="C665" s="4">
        <v>55</v>
      </c>
      <c r="D665" s="8">
        <v>1.6</v>
      </c>
      <c r="E665" s="4">
        <v>28</v>
      </c>
      <c r="F665" s="8">
        <v>1.55</v>
      </c>
      <c r="G665" s="4">
        <v>27</v>
      </c>
      <c r="H665" s="8">
        <v>1.66</v>
      </c>
      <c r="I665" s="4">
        <v>0</v>
      </c>
    </row>
    <row r="666" spans="1:9" x14ac:dyDescent="0.2">
      <c r="A666" s="2">
        <v>13</v>
      </c>
      <c r="B666" s="1" t="s">
        <v>169</v>
      </c>
      <c r="C666" s="4">
        <v>53</v>
      </c>
      <c r="D666" s="8">
        <v>1.54</v>
      </c>
      <c r="E666" s="4">
        <v>41</v>
      </c>
      <c r="F666" s="8">
        <v>2.2799999999999998</v>
      </c>
      <c r="G666" s="4">
        <v>12</v>
      </c>
      <c r="H666" s="8">
        <v>0.74</v>
      </c>
      <c r="I666" s="4">
        <v>0</v>
      </c>
    </row>
    <row r="667" spans="1:9" x14ac:dyDescent="0.2">
      <c r="A667" s="2">
        <v>14</v>
      </c>
      <c r="B667" s="1" t="s">
        <v>154</v>
      </c>
      <c r="C667" s="4">
        <v>51</v>
      </c>
      <c r="D667" s="8">
        <v>1.48</v>
      </c>
      <c r="E667" s="4">
        <v>11</v>
      </c>
      <c r="F667" s="8">
        <v>0.61</v>
      </c>
      <c r="G667" s="4">
        <v>40</v>
      </c>
      <c r="H667" s="8">
        <v>2.46</v>
      </c>
      <c r="I667" s="4">
        <v>0</v>
      </c>
    </row>
    <row r="668" spans="1:9" x14ac:dyDescent="0.2">
      <c r="A668" s="2">
        <v>14</v>
      </c>
      <c r="B668" s="1" t="s">
        <v>186</v>
      </c>
      <c r="C668" s="4">
        <v>51</v>
      </c>
      <c r="D668" s="8">
        <v>1.48</v>
      </c>
      <c r="E668" s="4">
        <v>32</v>
      </c>
      <c r="F668" s="8">
        <v>1.78</v>
      </c>
      <c r="G668" s="4">
        <v>19</v>
      </c>
      <c r="H668" s="8">
        <v>1.17</v>
      </c>
      <c r="I668" s="4">
        <v>0</v>
      </c>
    </row>
    <row r="669" spans="1:9" x14ac:dyDescent="0.2">
      <c r="A669" s="2">
        <v>14</v>
      </c>
      <c r="B669" s="1" t="s">
        <v>158</v>
      </c>
      <c r="C669" s="4">
        <v>51</v>
      </c>
      <c r="D669" s="8">
        <v>1.48</v>
      </c>
      <c r="E669" s="4">
        <v>39</v>
      </c>
      <c r="F669" s="8">
        <v>2.17</v>
      </c>
      <c r="G669" s="4">
        <v>12</v>
      </c>
      <c r="H669" s="8">
        <v>0.74</v>
      </c>
      <c r="I669" s="4">
        <v>0</v>
      </c>
    </row>
    <row r="670" spans="1:9" x14ac:dyDescent="0.2">
      <c r="A670" s="2">
        <v>17</v>
      </c>
      <c r="B670" s="1" t="s">
        <v>202</v>
      </c>
      <c r="C670" s="4">
        <v>50</v>
      </c>
      <c r="D670" s="8">
        <v>1.45</v>
      </c>
      <c r="E670" s="4">
        <v>16</v>
      </c>
      <c r="F670" s="8">
        <v>0.89</v>
      </c>
      <c r="G670" s="4">
        <v>34</v>
      </c>
      <c r="H670" s="8">
        <v>2.09</v>
      </c>
      <c r="I670" s="4">
        <v>0</v>
      </c>
    </row>
    <row r="671" spans="1:9" x14ac:dyDescent="0.2">
      <c r="A671" s="2">
        <v>18</v>
      </c>
      <c r="B671" s="1" t="s">
        <v>197</v>
      </c>
      <c r="C671" s="4">
        <v>49</v>
      </c>
      <c r="D671" s="8">
        <v>1.43</v>
      </c>
      <c r="E671" s="4">
        <v>11</v>
      </c>
      <c r="F671" s="8">
        <v>0.61</v>
      </c>
      <c r="G671" s="4">
        <v>38</v>
      </c>
      <c r="H671" s="8">
        <v>2.33</v>
      </c>
      <c r="I671" s="4">
        <v>0</v>
      </c>
    </row>
    <row r="672" spans="1:9" x14ac:dyDescent="0.2">
      <c r="A672" s="2">
        <v>19</v>
      </c>
      <c r="B672" s="1" t="s">
        <v>159</v>
      </c>
      <c r="C672" s="4">
        <v>48</v>
      </c>
      <c r="D672" s="8">
        <v>1.4</v>
      </c>
      <c r="E672" s="4">
        <v>11</v>
      </c>
      <c r="F672" s="8">
        <v>0.61</v>
      </c>
      <c r="G672" s="4">
        <v>37</v>
      </c>
      <c r="H672" s="8">
        <v>2.27</v>
      </c>
      <c r="I672" s="4">
        <v>0</v>
      </c>
    </row>
    <row r="673" spans="1:9" x14ac:dyDescent="0.2">
      <c r="A673" s="2">
        <v>20</v>
      </c>
      <c r="B673" s="1" t="s">
        <v>188</v>
      </c>
      <c r="C673" s="4">
        <v>46</v>
      </c>
      <c r="D673" s="8">
        <v>1.34</v>
      </c>
      <c r="E673" s="4">
        <v>29</v>
      </c>
      <c r="F673" s="8">
        <v>1.61</v>
      </c>
      <c r="G673" s="4">
        <v>17</v>
      </c>
      <c r="H673" s="8">
        <v>1.04</v>
      </c>
      <c r="I673" s="4">
        <v>0</v>
      </c>
    </row>
    <row r="674" spans="1:9" x14ac:dyDescent="0.2">
      <c r="A674" s="1"/>
      <c r="C674" s="4"/>
      <c r="D674" s="8"/>
      <c r="E674" s="4"/>
      <c r="F674" s="8"/>
      <c r="G674" s="4"/>
      <c r="H674" s="8"/>
      <c r="I674" s="4"/>
    </row>
    <row r="675" spans="1:9" x14ac:dyDescent="0.2">
      <c r="A675" s="1" t="s">
        <v>30</v>
      </c>
      <c r="C675" s="4"/>
      <c r="D675" s="8"/>
      <c r="E675" s="4"/>
      <c r="F675" s="8"/>
      <c r="G675" s="4"/>
      <c r="H675" s="8"/>
      <c r="I675" s="4"/>
    </row>
    <row r="676" spans="1:9" x14ac:dyDescent="0.2">
      <c r="A676" s="2">
        <v>1</v>
      </c>
      <c r="B676" s="1" t="s">
        <v>168</v>
      </c>
      <c r="C676" s="4">
        <v>195</v>
      </c>
      <c r="D676" s="8">
        <v>5</v>
      </c>
      <c r="E676" s="4">
        <v>177</v>
      </c>
      <c r="F676" s="8">
        <v>7.58</v>
      </c>
      <c r="G676" s="4">
        <v>17</v>
      </c>
      <c r="H676" s="8">
        <v>1.1200000000000001</v>
      </c>
      <c r="I676" s="4">
        <v>1</v>
      </c>
    </row>
    <row r="677" spans="1:9" x14ac:dyDescent="0.2">
      <c r="A677" s="2">
        <v>2</v>
      </c>
      <c r="B677" s="1" t="s">
        <v>205</v>
      </c>
      <c r="C677" s="4">
        <v>111</v>
      </c>
      <c r="D677" s="8">
        <v>2.85</v>
      </c>
      <c r="E677" s="4">
        <v>65</v>
      </c>
      <c r="F677" s="8">
        <v>2.78</v>
      </c>
      <c r="G677" s="4">
        <v>46</v>
      </c>
      <c r="H677" s="8">
        <v>3.04</v>
      </c>
      <c r="I677" s="4">
        <v>0</v>
      </c>
    </row>
    <row r="678" spans="1:9" x14ac:dyDescent="0.2">
      <c r="A678" s="2">
        <v>3</v>
      </c>
      <c r="B678" s="1" t="s">
        <v>170</v>
      </c>
      <c r="C678" s="4">
        <v>108</v>
      </c>
      <c r="D678" s="8">
        <v>2.77</v>
      </c>
      <c r="E678" s="4">
        <v>93</v>
      </c>
      <c r="F678" s="8">
        <v>3.98</v>
      </c>
      <c r="G678" s="4">
        <v>14</v>
      </c>
      <c r="H678" s="8">
        <v>0.92</v>
      </c>
      <c r="I678" s="4">
        <v>1</v>
      </c>
    </row>
    <row r="679" spans="1:9" x14ac:dyDescent="0.2">
      <c r="A679" s="2">
        <v>4</v>
      </c>
      <c r="B679" s="1" t="s">
        <v>167</v>
      </c>
      <c r="C679" s="4">
        <v>104</v>
      </c>
      <c r="D679" s="8">
        <v>2.67</v>
      </c>
      <c r="E679" s="4">
        <v>102</v>
      </c>
      <c r="F679" s="8">
        <v>4.37</v>
      </c>
      <c r="G679" s="4">
        <v>2</v>
      </c>
      <c r="H679" s="8">
        <v>0.13</v>
      </c>
      <c r="I679" s="4">
        <v>0</v>
      </c>
    </row>
    <row r="680" spans="1:9" x14ac:dyDescent="0.2">
      <c r="A680" s="2">
        <v>5</v>
      </c>
      <c r="B680" s="1" t="s">
        <v>171</v>
      </c>
      <c r="C680" s="4">
        <v>99</v>
      </c>
      <c r="D680" s="8">
        <v>2.54</v>
      </c>
      <c r="E680" s="4">
        <v>95</v>
      </c>
      <c r="F680" s="8">
        <v>4.07</v>
      </c>
      <c r="G680" s="4">
        <v>4</v>
      </c>
      <c r="H680" s="8">
        <v>0.26</v>
      </c>
      <c r="I680" s="4">
        <v>0</v>
      </c>
    </row>
    <row r="681" spans="1:9" x14ac:dyDescent="0.2">
      <c r="A681" s="2">
        <v>6</v>
      </c>
      <c r="B681" s="1" t="s">
        <v>156</v>
      </c>
      <c r="C681" s="4">
        <v>96</v>
      </c>
      <c r="D681" s="8">
        <v>2.46</v>
      </c>
      <c r="E681" s="4">
        <v>66</v>
      </c>
      <c r="F681" s="8">
        <v>2.83</v>
      </c>
      <c r="G681" s="4">
        <v>30</v>
      </c>
      <c r="H681" s="8">
        <v>1.98</v>
      </c>
      <c r="I681" s="4">
        <v>0</v>
      </c>
    </row>
    <row r="682" spans="1:9" x14ac:dyDescent="0.2">
      <c r="A682" s="2">
        <v>7</v>
      </c>
      <c r="B682" s="1" t="s">
        <v>165</v>
      </c>
      <c r="C682" s="4">
        <v>83</v>
      </c>
      <c r="D682" s="8">
        <v>2.13</v>
      </c>
      <c r="E682" s="4">
        <v>76</v>
      </c>
      <c r="F682" s="8">
        <v>3.25</v>
      </c>
      <c r="G682" s="4">
        <v>7</v>
      </c>
      <c r="H682" s="8">
        <v>0.46</v>
      </c>
      <c r="I682" s="4">
        <v>0</v>
      </c>
    </row>
    <row r="683" spans="1:9" x14ac:dyDescent="0.2">
      <c r="A683" s="2">
        <v>8</v>
      </c>
      <c r="B683" s="1" t="s">
        <v>161</v>
      </c>
      <c r="C683" s="4">
        <v>80</v>
      </c>
      <c r="D683" s="8">
        <v>2.0499999999999998</v>
      </c>
      <c r="E683" s="4">
        <v>43</v>
      </c>
      <c r="F683" s="8">
        <v>1.84</v>
      </c>
      <c r="G683" s="4">
        <v>37</v>
      </c>
      <c r="H683" s="8">
        <v>2.44</v>
      </c>
      <c r="I683" s="4">
        <v>0</v>
      </c>
    </row>
    <row r="684" spans="1:9" x14ac:dyDescent="0.2">
      <c r="A684" s="2">
        <v>9</v>
      </c>
      <c r="B684" s="1" t="s">
        <v>158</v>
      </c>
      <c r="C684" s="4">
        <v>74</v>
      </c>
      <c r="D684" s="8">
        <v>1.9</v>
      </c>
      <c r="E684" s="4">
        <v>50</v>
      </c>
      <c r="F684" s="8">
        <v>2.14</v>
      </c>
      <c r="G684" s="4">
        <v>24</v>
      </c>
      <c r="H684" s="8">
        <v>1.59</v>
      </c>
      <c r="I684" s="4">
        <v>0</v>
      </c>
    </row>
    <row r="685" spans="1:9" x14ac:dyDescent="0.2">
      <c r="A685" s="2">
        <v>10</v>
      </c>
      <c r="B685" s="1" t="s">
        <v>152</v>
      </c>
      <c r="C685" s="4">
        <v>70</v>
      </c>
      <c r="D685" s="8">
        <v>1.79</v>
      </c>
      <c r="E685" s="4">
        <v>20</v>
      </c>
      <c r="F685" s="8">
        <v>0.86</v>
      </c>
      <c r="G685" s="4">
        <v>50</v>
      </c>
      <c r="H685" s="8">
        <v>3.3</v>
      </c>
      <c r="I685" s="4">
        <v>0</v>
      </c>
    </row>
    <row r="686" spans="1:9" x14ac:dyDescent="0.2">
      <c r="A686" s="2">
        <v>10</v>
      </c>
      <c r="B686" s="1" t="s">
        <v>154</v>
      </c>
      <c r="C686" s="4">
        <v>70</v>
      </c>
      <c r="D686" s="8">
        <v>1.79</v>
      </c>
      <c r="E686" s="4">
        <v>25</v>
      </c>
      <c r="F686" s="8">
        <v>1.07</v>
      </c>
      <c r="G686" s="4">
        <v>45</v>
      </c>
      <c r="H686" s="8">
        <v>2.97</v>
      </c>
      <c r="I686" s="4">
        <v>0</v>
      </c>
    </row>
    <row r="687" spans="1:9" x14ac:dyDescent="0.2">
      <c r="A687" s="2">
        <v>12</v>
      </c>
      <c r="B687" s="1" t="s">
        <v>186</v>
      </c>
      <c r="C687" s="4">
        <v>67</v>
      </c>
      <c r="D687" s="8">
        <v>1.72</v>
      </c>
      <c r="E687" s="4">
        <v>46</v>
      </c>
      <c r="F687" s="8">
        <v>1.97</v>
      </c>
      <c r="G687" s="4">
        <v>21</v>
      </c>
      <c r="H687" s="8">
        <v>1.39</v>
      </c>
      <c r="I687" s="4">
        <v>0</v>
      </c>
    </row>
    <row r="688" spans="1:9" x14ac:dyDescent="0.2">
      <c r="A688" s="2">
        <v>13</v>
      </c>
      <c r="B688" s="1" t="s">
        <v>166</v>
      </c>
      <c r="C688" s="4">
        <v>65</v>
      </c>
      <c r="D688" s="8">
        <v>1.67</v>
      </c>
      <c r="E688" s="4">
        <v>48</v>
      </c>
      <c r="F688" s="8">
        <v>2.0499999999999998</v>
      </c>
      <c r="G688" s="4">
        <v>17</v>
      </c>
      <c r="H688" s="8">
        <v>1.1200000000000001</v>
      </c>
      <c r="I688" s="4">
        <v>0</v>
      </c>
    </row>
    <row r="689" spans="1:9" x14ac:dyDescent="0.2">
      <c r="A689" s="2">
        <v>14</v>
      </c>
      <c r="B689" s="1" t="s">
        <v>153</v>
      </c>
      <c r="C689" s="4">
        <v>61</v>
      </c>
      <c r="D689" s="8">
        <v>1.56</v>
      </c>
      <c r="E689" s="4">
        <v>18</v>
      </c>
      <c r="F689" s="8">
        <v>0.77</v>
      </c>
      <c r="G689" s="4">
        <v>43</v>
      </c>
      <c r="H689" s="8">
        <v>2.84</v>
      </c>
      <c r="I689" s="4">
        <v>0</v>
      </c>
    </row>
    <row r="690" spans="1:9" x14ac:dyDescent="0.2">
      <c r="A690" s="2">
        <v>14</v>
      </c>
      <c r="B690" s="1" t="s">
        <v>163</v>
      </c>
      <c r="C690" s="4">
        <v>61</v>
      </c>
      <c r="D690" s="8">
        <v>1.56</v>
      </c>
      <c r="E690" s="4">
        <v>48</v>
      </c>
      <c r="F690" s="8">
        <v>2.0499999999999998</v>
      </c>
      <c r="G690" s="4">
        <v>13</v>
      </c>
      <c r="H690" s="8">
        <v>0.86</v>
      </c>
      <c r="I690" s="4">
        <v>0</v>
      </c>
    </row>
    <row r="691" spans="1:9" x14ac:dyDescent="0.2">
      <c r="A691" s="2">
        <v>16</v>
      </c>
      <c r="B691" s="1" t="s">
        <v>162</v>
      </c>
      <c r="C691" s="4">
        <v>59</v>
      </c>
      <c r="D691" s="8">
        <v>1.51</v>
      </c>
      <c r="E691" s="4">
        <v>27</v>
      </c>
      <c r="F691" s="8">
        <v>1.1599999999999999</v>
      </c>
      <c r="G691" s="4">
        <v>32</v>
      </c>
      <c r="H691" s="8">
        <v>2.11</v>
      </c>
      <c r="I691" s="4">
        <v>0</v>
      </c>
    </row>
    <row r="692" spans="1:9" x14ac:dyDescent="0.2">
      <c r="A692" s="2">
        <v>17</v>
      </c>
      <c r="B692" s="1" t="s">
        <v>210</v>
      </c>
      <c r="C692" s="4">
        <v>57</v>
      </c>
      <c r="D692" s="8">
        <v>1.46</v>
      </c>
      <c r="E692" s="4">
        <v>52</v>
      </c>
      <c r="F692" s="8">
        <v>2.23</v>
      </c>
      <c r="G692" s="4">
        <v>5</v>
      </c>
      <c r="H692" s="8">
        <v>0.33</v>
      </c>
      <c r="I692" s="4">
        <v>0</v>
      </c>
    </row>
    <row r="693" spans="1:9" x14ac:dyDescent="0.2">
      <c r="A693" s="2">
        <v>18</v>
      </c>
      <c r="B693" s="1" t="s">
        <v>164</v>
      </c>
      <c r="C693" s="4">
        <v>56</v>
      </c>
      <c r="D693" s="8">
        <v>1.44</v>
      </c>
      <c r="E693" s="4">
        <v>53</v>
      </c>
      <c r="F693" s="8">
        <v>2.27</v>
      </c>
      <c r="G693" s="4">
        <v>3</v>
      </c>
      <c r="H693" s="8">
        <v>0.2</v>
      </c>
      <c r="I693" s="4">
        <v>0</v>
      </c>
    </row>
    <row r="694" spans="1:9" x14ac:dyDescent="0.2">
      <c r="A694" s="2">
        <v>19</v>
      </c>
      <c r="B694" s="1" t="s">
        <v>155</v>
      </c>
      <c r="C694" s="4">
        <v>53</v>
      </c>
      <c r="D694" s="8">
        <v>1.36</v>
      </c>
      <c r="E694" s="4">
        <v>23</v>
      </c>
      <c r="F694" s="8">
        <v>0.98</v>
      </c>
      <c r="G694" s="4">
        <v>30</v>
      </c>
      <c r="H694" s="8">
        <v>1.98</v>
      </c>
      <c r="I694" s="4">
        <v>0</v>
      </c>
    </row>
    <row r="695" spans="1:9" x14ac:dyDescent="0.2">
      <c r="A695" s="2">
        <v>20</v>
      </c>
      <c r="B695" s="1" t="s">
        <v>157</v>
      </c>
      <c r="C695" s="4">
        <v>52</v>
      </c>
      <c r="D695" s="8">
        <v>1.33</v>
      </c>
      <c r="E695" s="4">
        <v>30</v>
      </c>
      <c r="F695" s="8">
        <v>1.28</v>
      </c>
      <c r="G695" s="4">
        <v>22</v>
      </c>
      <c r="H695" s="8">
        <v>1.45</v>
      </c>
      <c r="I695" s="4">
        <v>0</v>
      </c>
    </row>
    <row r="696" spans="1:9" x14ac:dyDescent="0.2">
      <c r="A696" s="2">
        <v>20</v>
      </c>
      <c r="B696" s="1" t="s">
        <v>169</v>
      </c>
      <c r="C696" s="4">
        <v>52</v>
      </c>
      <c r="D696" s="8">
        <v>1.33</v>
      </c>
      <c r="E696" s="4">
        <v>39</v>
      </c>
      <c r="F696" s="8">
        <v>1.67</v>
      </c>
      <c r="G696" s="4">
        <v>13</v>
      </c>
      <c r="H696" s="8">
        <v>0.86</v>
      </c>
      <c r="I696" s="4">
        <v>0</v>
      </c>
    </row>
    <row r="697" spans="1:9" x14ac:dyDescent="0.2">
      <c r="A697" s="1"/>
      <c r="C697" s="4"/>
      <c r="D697" s="8"/>
      <c r="E697" s="4"/>
      <c r="F697" s="8"/>
      <c r="G697" s="4"/>
      <c r="H697" s="8"/>
      <c r="I697" s="4"/>
    </row>
    <row r="698" spans="1:9" x14ac:dyDescent="0.2">
      <c r="A698" s="1" t="s">
        <v>31</v>
      </c>
      <c r="C698" s="4"/>
      <c r="D698" s="8"/>
      <c r="E698" s="4"/>
      <c r="F698" s="8"/>
      <c r="G698" s="4"/>
      <c r="H698" s="8"/>
      <c r="I698" s="4"/>
    </row>
    <row r="699" spans="1:9" x14ac:dyDescent="0.2">
      <c r="A699" s="2">
        <v>1</v>
      </c>
      <c r="B699" s="1" t="s">
        <v>161</v>
      </c>
      <c r="C699" s="4">
        <v>96</v>
      </c>
      <c r="D699" s="8">
        <v>4.5199999999999996</v>
      </c>
      <c r="E699" s="4">
        <v>53</v>
      </c>
      <c r="F699" s="8">
        <v>4.5999999999999996</v>
      </c>
      <c r="G699" s="4">
        <v>43</v>
      </c>
      <c r="H699" s="8">
        <v>4.5599999999999996</v>
      </c>
      <c r="I699" s="4">
        <v>0</v>
      </c>
    </row>
    <row r="700" spans="1:9" x14ac:dyDescent="0.2">
      <c r="A700" s="2">
        <v>1</v>
      </c>
      <c r="B700" s="1" t="s">
        <v>168</v>
      </c>
      <c r="C700" s="4">
        <v>96</v>
      </c>
      <c r="D700" s="8">
        <v>4.5199999999999996</v>
      </c>
      <c r="E700" s="4">
        <v>88</v>
      </c>
      <c r="F700" s="8">
        <v>7.64</v>
      </c>
      <c r="G700" s="4">
        <v>8</v>
      </c>
      <c r="H700" s="8">
        <v>0.85</v>
      </c>
      <c r="I700" s="4">
        <v>0</v>
      </c>
    </row>
    <row r="701" spans="1:9" x14ac:dyDescent="0.2">
      <c r="A701" s="2">
        <v>3</v>
      </c>
      <c r="B701" s="1" t="s">
        <v>212</v>
      </c>
      <c r="C701" s="4">
        <v>65</v>
      </c>
      <c r="D701" s="8">
        <v>3.06</v>
      </c>
      <c r="E701" s="4">
        <v>28</v>
      </c>
      <c r="F701" s="8">
        <v>2.4300000000000002</v>
      </c>
      <c r="G701" s="4">
        <v>37</v>
      </c>
      <c r="H701" s="8">
        <v>3.92</v>
      </c>
      <c r="I701" s="4">
        <v>0</v>
      </c>
    </row>
    <row r="702" spans="1:9" x14ac:dyDescent="0.2">
      <c r="A702" s="2">
        <v>4</v>
      </c>
      <c r="B702" s="1" t="s">
        <v>213</v>
      </c>
      <c r="C702" s="4">
        <v>62</v>
      </c>
      <c r="D702" s="8">
        <v>2.92</v>
      </c>
      <c r="E702" s="4">
        <v>36</v>
      </c>
      <c r="F702" s="8">
        <v>3.13</v>
      </c>
      <c r="G702" s="4">
        <v>26</v>
      </c>
      <c r="H702" s="8">
        <v>2.76</v>
      </c>
      <c r="I702" s="4">
        <v>0</v>
      </c>
    </row>
    <row r="703" spans="1:9" x14ac:dyDescent="0.2">
      <c r="A703" s="2">
        <v>5</v>
      </c>
      <c r="B703" s="1" t="s">
        <v>167</v>
      </c>
      <c r="C703" s="4">
        <v>58</v>
      </c>
      <c r="D703" s="8">
        <v>2.73</v>
      </c>
      <c r="E703" s="4">
        <v>53</v>
      </c>
      <c r="F703" s="8">
        <v>4.5999999999999996</v>
      </c>
      <c r="G703" s="4">
        <v>5</v>
      </c>
      <c r="H703" s="8">
        <v>0.53</v>
      </c>
      <c r="I703" s="4">
        <v>0</v>
      </c>
    </row>
    <row r="704" spans="1:9" x14ac:dyDescent="0.2">
      <c r="A704" s="2">
        <v>6</v>
      </c>
      <c r="B704" s="1" t="s">
        <v>165</v>
      </c>
      <c r="C704" s="4">
        <v>50</v>
      </c>
      <c r="D704" s="8">
        <v>2.35</v>
      </c>
      <c r="E704" s="4">
        <v>46</v>
      </c>
      <c r="F704" s="8">
        <v>3.99</v>
      </c>
      <c r="G704" s="4">
        <v>4</v>
      </c>
      <c r="H704" s="8">
        <v>0.42</v>
      </c>
      <c r="I704" s="4">
        <v>0</v>
      </c>
    </row>
    <row r="705" spans="1:9" x14ac:dyDescent="0.2">
      <c r="A705" s="2">
        <v>7</v>
      </c>
      <c r="B705" s="1" t="s">
        <v>163</v>
      </c>
      <c r="C705" s="4">
        <v>47</v>
      </c>
      <c r="D705" s="8">
        <v>2.21</v>
      </c>
      <c r="E705" s="4">
        <v>34</v>
      </c>
      <c r="F705" s="8">
        <v>2.95</v>
      </c>
      <c r="G705" s="4">
        <v>13</v>
      </c>
      <c r="H705" s="8">
        <v>1.38</v>
      </c>
      <c r="I705" s="4">
        <v>0</v>
      </c>
    </row>
    <row r="706" spans="1:9" x14ac:dyDescent="0.2">
      <c r="A706" s="2">
        <v>8</v>
      </c>
      <c r="B706" s="1" t="s">
        <v>170</v>
      </c>
      <c r="C706" s="4">
        <v>44</v>
      </c>
      <c r="D706" s="8">
        <v>2.0699999999999998</v>
      </c>
      <c r="E706" s="4">
        <v>35</v>
      </c>
      <c r="F706" s="8">
        <v>3.04</v>
      </c>
      <c r="G706" s="4">
        <v>9</v>
      </c>
      <c r="H706" s="8">
        <v>0.95</v>
      </c>
      <c r="I706" s="4">
        <v>0</v>
      </c>
    </row>
    <row r="707" spans="1:9" x14ac:dyDescent="0.2">
      <c r="A707" s="2">
        <v>9</v>
      </c>
      <c r="B707" s="1" t="s">
        <v>164</v>
      </c>
      <c r="C707" s="4">
        <v>40</v>
      </c>
      <c r="D707" s="8">
        <v>1.88</v>
      </c>
      <c r="E707" s="4">
        <v>39</v>
      </c>
      <c r="F707" s="8">
        <v>3.39</v>
      </c>
      <c r="G707" s="4">
        <v>1</v>
      </c>
      <c r="H707" s="8">
        <v>0.11</v>
      </c>
      <c r="I707" s="4">
        <v>0</v>
      </c>
    </row>
    <row r="708" spans="1:9" x14ac:dyDescent="0.2">
      <c r="A708" s="2">
        <v>10</v>
      </c>
      <c r="B708" s="1" t="s">
        <v>156</v>
      </c>
      <c r="C708" s="4">
        <v>38</v>
      </c>
      <c r="D708" s="8">
        <v>1.79</v>
      </c>
      <c r="E708" s="4">
        <v>21</v>
      </c>
      <c r="F708" s="8">
        <v>1.82</v>
      </c>
      <c r="G708" s="4">
        <v>17</v>
      </c>
      <c r="H708" s="8">
        <v>1.8</v>
      </c>
      <c r="I708" s="4">
        <v>0</v>
      </c>
    </row>
    <row r="709" spans="1:9" x14ac:dyDescent="0.2">
      <c r="A709" s="2">
        <v>11</v>
      </c>
      <c r="B709" s="1" t="s">
        <v>158</v>
      </c>
      <c r="C709" s="4">
        <v>37</v>
      </c>
      <c r="D709" s="8">
        <v>1.74</v>
      </c>
      <c r="E709" s="4">
        <v>25</v>
      </c>
      <c r="F709" s="8">
        <v>2.17</v>
      </c>
      <c r="G709" s="4">
        <v>12</v>
      </c>
      <c r="H709" s="8">
        <v>1.27</v>
      </c>
      <c r="I709" s="4">
        <v>0</v>
      </c>
    </row>
    <row r="710" spans="1:9" x14ac:dyDescent="0.2">
      <c r="A710" s="2">
        <v>11</v>
      </c>
      <c r="B710" s="1" t="s">
        <v>171</v>
      </c>
      <c r="C710" s="4">
        <v>37</v>
      </c>
      <c r="D710" s="8">
        <v>1.74</v>
      </c>
      <c r="E710" s="4">
        <v>33</v>
      </c>
      <c r="F710" s="8">
        <v>2.86</v>
      </c>
      <c r="G710" s="4">
        <v>4</v>
      </c>
      <c r="H710" s="8">
        <v>0.42</v>
      </c>
      <c r="I710" s="4">
        <v>0</v>
      </c>
    </row>
    <row r="711" spans="1:9" x14ac:dyDescent="0.2">
      <c r="A711" s="2">
        <v>13</v>
      </c>
      <c r="B711" s="1" t="s">
        <v>157</v>
      </c>
      <c r="C711" s="4">
        <v>36</v>
      </c>
      <c r="D711" s="8">
        <v>1.69</v>
      </c>
      <c r="E711" s="4">
        <v>24</v>
      </c>
      <c r="F711" s="8">
        <v>2.08</v>
      </c>
      <c r="G711" s="4">
        <v>12</v>
      </c>
      <c r="H711" s="8">
        <v>1.27</v>
      </c>
      <c r="I711" s="4">
        <v>0</v>
      </c>
    </row>
    <row r="712" spans="1:9" x14ac:dyDescent="0.2">
      <c r="A712" s="2">
        <v>14</v>
      </c>
      <c r="B712" s="1" t="s">
        <v>152</v>
      </c>
      <c r="C712" s="4">
        <v>35</v>
      </c>
      <c r="D712" s="8">
        <v>1.65</v>
      </c>
      <c r="E712" s="4">
        <v>7</v>
      </c>
      <c r="F712" s="8">
        <v>0.61</v>
      </c>
      <c r="G712" s="4">
        <v>28</v>
      </c>
      <c r="H712" s="8">
        <v>2.97</v>
      </c>
      <c r="I712" s="4">
        <v>0</v>
      </c>
    </row>
    <row r="713" spans="1:9" x14ac:dyDescent="0.2">
      <c r="A713" s="2">
        <v>15</v>
      </c>
      <c r="B713" s="1" t="s">
        <v>160</v>
      </c>
      <c r="C713" s="4">
        <v>34</v>
      </c>
      <c r="D713" s="8">
        <v>1.6</v>
      </c>
      <c r="E713" s="4">
        <v>1</v>
      </c>
      <c r="F713" s="8">
        <v>0.09</v>
      </c>
      <c r="G713" s="4">
        <v>33</v>
      </c>
      <c r="H713" s="8">
        <v>3.5</v>
      </c>
      <c r="I713" s="4">
        <v>0</v>
      </c>
    </row>
    <row r="714" spans="1:9" x14ac:dyDescent="0.2">
      <c r="A714" s="2">
        <v>16</v>
      </c>
      <c r="B714" s="1" t="s">
        <v>198</v>
      </c>
      <c r="C714" s="4">
        <v>31</v>
      </c>
      <c r="D714" s="8">
        <v>1.46</v>
      </c>
      <c r="E714" s="4">
        <v>17</v>
      </c>
      <c r="F714" s="8">
        <v>1.48</v>
      </c>
      <c r="G714" s="4">
        <v>14</v>
      </c>
      <c r="H714" s="8">
        <v>1.48</v>
      </c>
      <c r="I714" s="4">
        <v>0</v>
      </c>
    </row>
    <row r="715" spans="1:9" x14ac:dyDescent="0.2">
      <c r="A715" s="2">
        <v>17</v>
      </c>
      <c r="B715" s="1" t="s">
        <v>154</v>
      </c>
      <c r="C715" s="4">
        <v>29</v>
      </c>
      <c r="D715" s="8">
        <v>1.37</v>
      </c>
      <c r="E715" s="4">
        <v>6</v>
      </c>
      <c r="F715" s="8">
        <v>0.52</v>
      </c>
      <c r="G715" s="4">
        <v>23</v>
      </c>
      <c r="H715" s="8">
        <v>2.44</v>
      </c>
      <c r="I715" s="4">
        <v>0</v>
      </c>
    </row>
    <row r="716" spans="1:9" x14ac:dyDescent="0.2">
      <c r="A716" s="2">
        <v>18</v>
      </c>
      <c r="B716" s="1" t="s">
        <v>153</v>
      </c>
      <c r="C716" s="4">
        <v>28</v>
      </c>
      <c r="D716" s="8">
        <v>1.32</v>
      </c>
      <c r="E716" s="4">
        <v>6</v>
      </c>
      <c r="F716" s="8">
        <v>0.52</v>
      </c>
      <c r="G716" s="4">
        <v>22</v>
      </c>
      <c r="H716" s="8">
        <v>2.33</v>
      </c>
      <c r="I716" s="4">
        <v>0</v>
      </c>
    </row>
    <row r="717" spans="1:9" x14ac:dyDescent="0.2">
      <c r="A717" s="2">
        <v>18</v>
      </c>
      <c r="B717" s="1" t="s">
        <v>206</v>
      </c>
      <c r="C717" s="4">
        <v>28</v>
      </c>
      <c r="D717" s="8">
        <v>1.32</v>
      </c>
      <c r="E717" s="4">
        <v>16</v>
      </c>
      <c r="F717" s="8">
        <v>1.39</v>
      </c>
      <c r="G717" s="4">
        <v>12</v>
      </c>
      <c r="H717" s="8">
        <v>1.27</v>
      </c>
      <c r="I717" s="4">
        <v>0</v>
      </c>
    </row>
    <row r="718" spans="1:9" x14ac:dyDescent="0.2">
      <c r="A718" s="2">
        <v>18</v>
      </c>
      <c r="B718" s="1" t="s">
        <v>210</v>
      </c>
      <c r="C718" s="4">
        <v>28</v>
      </c>
      <c r="D718" s="8">
        <v>1.32</v>
      </c>
      <c r="E718" s="4">
        <v>18</v>
      </c>
      <c r="F718" s="8">
        <v>1.56</v>
      </c>
      <c r="G718" s="4">
        <v>10</v>
      </c>
      <c r="H718" s="8">
        <v>1.06</v>
      </c>
      <c r="I718" s="4">
        <v>0</v>
      </c>
    </row>
    <row r="719" spans="1:9" x14ac:dyDescent="0.2">
      <c r="A719" s="1"/>
      <c r="C719" s="4"/>
      <c r="D719" s="8"/>
      <c r="E719" s="4"/>
      <c r="F719" s="8"/>
      <c r="G719" s="4"/>
      <c r="H719" s="8"/>
      <c r="I719" s="4"/>
    </row>
    <row r="720" spans="1:9" x14ac:dyDescent="0.2">
      <c r="A720" s="1" t="s">
        <v>32</v>
      </c>
      <c r="C720" s="4"/>
      <c r="D720" s="8"/>
      <c r="E720" s="4"/>
      <c r="F720" s="8"/>
      <c r="G720" s="4"/>
      <c r="H720" s="8"/>
      <c r="I720" s="4"/>
    </row>
    <row r="721" spans="1:9" x14ac:dyDescent="0.2">
      <c r="A721" s="2">
        <v>1</v>
      </c>
      <c r="B721" s="1" t="s">
        <v>165</v>
      </c>
      <c r="C721" s="4">
        <v>68</v>
      </c>
      <c r="D721" s="8">
        <v>4.8600000000000003</v>
      </c>
      <c r="E721" s="4">
        <v>56</v>
      </c>
      <c r="F721" s="8">
        <v>8.02</v>
      </c>
      <c r="G721" s="4">
        <v>11</v>
      </c>
      <c r="H721" s="8">
        <v>1.61</v>
      </c>
      <c r="I721" s="4">
        <v>1</v>
      </c>
    </row>
    <row r="722" spans="1:9" x14ac:dyDescent="0.2">
      <c r="A722" s="2">
        <v>2</v>
      </c>
      <c r="B722" s="1" t="s">
        <v>168</v>
      </c>
      <c r="C722" s="4">
        <v>58</v>
      </c>
      <c r="D722" s="8">
        <v>4.1399999999999997</v>
      </c>
      <c r="E722" s="4">
        <v>49</v>
      </c>
      <c r="F722" s="8">
        <v>7.02</v>
      </c>
      <c r="G722" s="4">
        <v>9</v>
      </c>
      <c r="H722" s="8">
        <v>1.31</v>
      </c>
      <c r="I722" s="4">
        <v>0</v>
      </c>
    </row>
    <row r="723" spans="1:9" x14ac:dyDescent="0.2">
      <c r="A723" s="2">
        <v>3</v>
      </c>
      <c r="B723" s="1" t="s">
        <v>170</v>
      </c>
      <c r="C723" s="4">
        <v>48</v>
      </c>
      <c r="D723" s="8">
        <v>3.43</v>
      </c>
      <c r="E723" s="4">
        <v>37</v>
      </c>
      <c r="F723" s="8">
        <v>5.3</v>
      </c>
      <c r="G723" s="4">
        <v>11</v>
      </c>
      <c r="H723" s="8">
        <v>1.61</v>
      </c>
      <c r="I723" s="4">
        <v>0</v>
      </c>
    </row>
    <row r="724" spans="1:9" x14ac:dyDescent="0.2">
      <c r="A724" s="2">
        <v>4</v>
      </c>
      <c r="B724" s="1" t="s">
        <v>167</v>
      </c>
      <c r="C724" s="4">
        <v>39</v>
      </c>
      <c r="D724" s="8">
        <v>2.79</v>
      </c>
      <c r="E724" s="4">
        <v>37</v>
      </c>
      <c r="F724" s="8">
        <v>5.3</v>
      </c>
      <c r="G724" s="4">
        <v>2</v>
      </c>
      <c r="H724" s="8">
        <v>0.28999999999999998</v>
      </c>
      <c r="I724" s="4">
        <v>0</v>
      </c>
    </row>
    <row r="725" spans="1:9" x14ac:dyDescent="0.2">
      <c r="A725" s="2">
        <v>5</v>
      </c>
      <c r="B725" s="1" t="s">
        <v>171</v>
      </c>
      <c r="C725" s="4">
        <v>37</v>
      </c>
      <c r="D725" s="8">
        <v>2.64</v>
      </c>
      <c r="E725" s="4">
        <v>34</v>
      </c>
      <c r="F725" s="8">
        <v>4.87</v>
      </c>
      <c r="G725" s="4">
        <v>3</v>
      </c>
      <c r="H725" s="8">
        <v>0.44</v>
      </c>
      <c r="I725" s="4">
        <v>0</v>
      </c>
    </row>
    <row r="726" spans="1:9" x14ac:dyDescent="0.2">
      <c r="A726" s="2">
        <v>6</v>
      </c>
      <c r="B726" s="1" t="s">
        <v>161</v>
      </c>
      <c r="C726" s="4">
        <v>33</v>
      </c>
      <c r="D726" s="8">
        <v>2.36</v>
      </c>
      <c r="E726" s="4">
        <v>14</v>
      </c>
      <c r="F726" s="8">
        <v>2.0099999999999998</v>
      </c>
      <c r="G726" s="4">
        <v>19</v>
      </c>
      <c r="H726" s="8">
        <v>2.77</v>
      </c>
      <c r="I726" s="4">
        <v>0</v>
      </c>
    </row>
    <row r="727" spans="1:9" x14ac:dyDescent="0.2">
      <c r="A727" s="2">
        <v>7</v>
      </c>
      <c r="B727" s="1" t="s">
        <v>158</v>
      </c>
      <c r="C727" s="4">
        <v>31</v>
      </c>
      <c r="D727" s="8">
        <v>2.21</v>
      </c>
      <c r="E727" s="4">
        <v>19</v>
      </c>
      <c r="F727" s="8">
        <v>2.72</v>
      </c>
      <c r="G727" s="4">
        <v>12</v>
      </c>
      <c r="H727" s="8">
        <v>1.75</v>
      </c>
      <c r="I727" s="4">
        <v>0</v>
      </c>
    </row>
    <row r="728" spans="1:9" x14ac:dyDescent="0.2">
      <c r="A728" s="2">
        <v>8</v>
      </c>
      <c r="B728" s="1" t="s">
        <v>163</v>
      </c>
      <c r="C728" s="4">
        <v>30</v>
      </c>
      <c r="D728" s="8">
        <v>2.14</v>
      </c>
      <c r="E728" s="4">
        <v>24</v>
      </c>
      <c r="F728" s="8">
        <v>3.44</v>
      </c>
      <c r="G728" s="4">
        <v>6</v>
      </c>
      <c r="H728" s="8">
        <v>0.88</v>
      </c>
      <c r="I728" s="4">
        <v>0</v>
      </c>
    </row>
    <row r="729" spans="1:9" x14ac:dyDescent="0.2">
      <c r="A729" s="2">
        <v>9</v>
      </c>
      <c r="B729" s="1" t="s">
        <v>154</v>
      </c>
      <c r="C729" s="4">
        <v>29</v>
      </c>
      <c r="D729" s="8">
        <v>2.0699999999999998</v>
      </c>
      <c r="E729" s="4">
        <v>5</v>
      </c>
      <c r="F729" s="8">
        <v>0.72</v>
      </c>
      <c r="G729" s="4">
        <v>24</v>
      </c>
      <c r="H729" s="8">
        <v>3.5</v>
      </c>
      <c r="I729" s="4">
        <v>0</v>
      </c>
    </row>
    <row r="730" spans="1:9" x14ac:dyDescent="0.2">
      <c r="A730" s="2">
        <v>10</v>
      </c>
      <c r="B730" s="1" t="s">
        <v>152</v>
      </c>
      <c r="C730" s="4">
        <v>24</v>
      </c>
      <c r="D730" s="8">
        <v>1.71</v>
      </c>
      <c r="E730" s="4">
        <v>5</v>
      </c>
      <c r="F730" s="8">
        <v>0.72</v>
      </c>
      <c r="G730" s="4">
        <v>19</v>
      </c>
      <c r="H730" s="8">
        <v>2.77</v>
      </c>
      <c r="I730" s="4">
        <v>0</v>
      </c>
    </row>
    <row r="731" spans="1:9" x14ac:dyDescent="0.2">
      <c r="A731" s="2">
        <v>11</v>
      </c>
      <c r="B731" s="1" t="s">
        <v>164</v>
      </c>
      <c r="C731" s="4">
        <v>22</v>
      </c>
      <c r="D731" s="8">
        <v>1.57</v>
      </c>
      <c r="E731" s="4">
        <v>21</v>
      </c>
      <c r="F731" s="8">
        <v>3.01</v>
      </c>
      <c r="G731" s="4">
        <v>1</v>
      </c>
      <c r="H731" s="8">
        <v>0.15</v>
      </c>
      <c r="I731" s="4">
        <v>0</v>
      </c>
    </row>
    <row r="732" spans="1:9" x14ac:dyDescent="0.2">
      <c r="A732" s="2">
        <v>12</v>
      </c>
      <c r="B732" s="1" t="s">
        <v>156</v>
      </c>
      <c r="C732" s="4">
        <v>21</v>
      </c>
      <c r="D732" s="8">
        <v>1.5</v>
      </c>
      <c r="E732" s="4">
        <v>14</v>
      </c>
      <c r="F732" s="8">
        <v>2.0099999999999998</v>
      </c>
      <c r="G732" s="4">
        <v>7</v>
      </c>
      <c r="H732" s="8">
        <v>1.02</v>
      </c>
      <c r="I732" s="4">
        <v>0</v>
      </c>
    </row>
    <row r="733" spans="1:9" x14ac:dyDescent="0.2">
      <c r="A733" s="2">
        <v>13</v>
      </c>
      <c r="B733" s="1" t="s">
        <v>197</v>
      </c>
      <c r="C733" s="4">
        <v>20</v>
      </c>
      <c r="D733" s="8">
        <v>1.43</v>
      </c>
      <c r="E733" s="4">
        <v>5</v>
      </c>
      <c r="F733" s="8">
        <v>0.72</v>
      </c>
      <c r="G733" s="4">
        <v>15</v>
      </c>
      <c r="H733" s="8">
        <v>2.19</v>
      </c>
      <c r="I733" s="4">
        <v>0</v>
      </c>
    </row>
    <row r="734" spans="1:9" x14ac:dyDescent="0.2">
      <c r="A734" s="2">
        <v>13</v>
      </c>
      <c r="B734" s="1" t="s">
        <v>186</v>
      </c>
      <c r="C734" s="4">
        <v>20</v>
      </c>
      <c r="D734" s="8">
        <v>1.43</v>
      </c>
      <c r="E734" s="4">
        <v>11</v>
      </c>
      <c r="F734" s="8">
        <v>1.58</v>
      </c>
      <c r="G734" s="4">
        <v>9</v>
      </c>
      <c r="H734" s="8">
        <v>1.31</v>
      </c>
      <c r="I734" s="4">
        <v>0</v>
      </c>
    </row>
    <row r="735" spans="1:9" x14ac:dyDescent="0.2">
      <c r="A735" s="2">
        <v>13</v>
      </c>
      <c r="B735" s="1" t="s">
        <v>160</v>
      </c>
      <c r="C735" s="4">
        <v>20</v>
      </c>
      <c r="D735" s="8">
        <v>1.43</v>
      </c>
      <c r="E735" s="4">
        <v>2</v>
      </c>
      <c r="F735" s="8">
        <v>0.28999999999999998</v>
      </c>
      <c r="G735" s="4">
        <v>18</v>
      </c>
      <c r="H735" s="8">
        <v>2.63</v>
      </c>
      <c r="I735" s="4">
        <v>0</v>
      </c>
    </row>
    <row r="736" spans="1:9" x14ac:dyDescent="0.2">
      <c r="A736" s="2">
        <v>16</v>
      </c>
      <c r="B736" s="1" t="s">
        <v>153</v>
      </c>
      <c r="C736" s="4">
        <v>19</v>
      </c>
      <c r="D736" s="8">
        <v>1.36</v>
      </c>
      <c r="E736" s="4">
        <v>3</v>
      </c>
      <c r="F736" s="8">
        <v>0.43</v>
      </c>
      <c r="G736" s="4">
        <v>16</v>
      </c>
      <c r="H736" s="8">
        <v>2.34</v>
      </c>
      <c r="I736" s="4">
        <v>0</v>
      </c>
    </row>
    <row r="737" spans="1:9" x14ac:dyDescent="0.2">
      <c r="A737" s="2">
        <v>17</v>
      </c>
      <c r="B737" s="1" t="s">
        <v>155</v>
      </c>
      <c r="C737" s="4">
        <v>18</v>
      </c>
      <c r="D737" s="8">
        <v>1.29</v>
      </c>
      <c r="E737" s="4">
        <v>5</v>
      </c>
      <c r="F737" s="8">
        <v>0.72</v>
      </c>
      <c r="G737" s="4">
        <v>13</v>
      </c>
      <c r="H737" s="8">
        <v>1.9</v>
      </c>
      <c r="I737" s="4">
        <v>0</v>
      </c>
    </row>
    <row r="738" spans="1:9" x14ac:dyDescent="0.2">
      <c r="A738" s="2">
        <v>17</v>
      </c>
      <c r="B738" s="1" t="s">
        <v>162</v>
      </c>
      <c r="C738" s="4">
        <v>18</v>
      </c>
      <c r="D738" s="8">
        <v>1.29</v>
      </c>
      <c r="E738" s="4">
        <v>8</v>
      </c>
      <c r="F738" s="8">
        <v>1.1499999999999999</v>
      </c>
      <c r="G738" s="4">
        <v>10</v>
      </c>
      <c r="H738" s="8">
        <v>1.46</v>
      </c>
      <c r="I738" s="4">
        <v>0</v>
      </c>
    </row>
    <row r="739" spans="1:9" x14ac:dyDescent="0.2">
      <c r="A739" s="2">
        <v>17</v>
      </c>
      <c r="B739" s="1" t="s">
        <v>169</v>
      </c>
      <c r="C739" s="4">
        <v>18</v>
      </c>
      <c r="D739" s="8">
        <v>1.29</v>
      </c>
      <c r="E739" s="4">
        <v>13</v>
      </c>
      <c r="F739" s="8">
        <v>1.86</v>
      </c>
      <c r="G739" s="4">
        <v>5</v>
      </c>
      <c r="H739" s="8">
        <v>0.73</v>
      </c>
      <c r="I739" s="4">
        <v>0</v>
      </c>
    </row>
    <row r="740" spans="1:9" x14ac:dyDescent="0.2">
      <c r="A740" s="2">
        <v>20</v>
      </c>
      <c r="B740" s="1" t="s">
        <v>173</v>
      </c>
      <c r="C740" s="4">
        <v>17</v>
      </c>
      <c r="D740" s="8">
        <v>1.21</v>
      </c>
      <c r="E740" s="4">
        <v>2</v>
      </c>
      <c r="F740" s="8">
        <v>0.28999999999999998</v>
      </c>
      <c r="G740" s="4">
        <v>15</v>
      </c>
      <c r="H740" s="8">
        <v>2.19</v>
      </c>
      <c r="I740" s="4">
        <v>0</v>
      </c>
    </row>
    <row r="741" spans="1:9" x14ac:dyDescent="0.2">
      <c r="A741" s="2">
        <v>20</v>
      </c>
      <c r="B741" s="1" t="s">
        <v>210</v>
      </c>
      <c r="C741" s="4">
        <v>17</v>
      </c>
      <c r="D741" s="8">
        <v>1.21</v>
      </c>
      <c r="E741" s="4">
        <v>12</v>
      </c>
      <c r="F741" s="8">
        <v>1.72</v>
      </c>
      <c r="G741" s="4">
        <v>5</v>
      </c>
      <c r="H741" s="8">
        <v>0.73</v>
      </c>
      <c r="I741" s="4">
        <v>0</v>
      </c>
    </row>
    <row r="742" spans="1:9" x14ac:dyDescent="0.2">
      <c r="A742" s="1"/>
      <c r="C742" s="4"/>
      <c r="D742" s="8"/>
      <c r="E742" s="4"/>
      <c r="F742" s="8"/>
      <c r="G742" s="4"/>
      <c r="H742" s="8"/>
      <c r="I742" s="4"/>
    </row>
    <row r="743" spans="1:9" x14ac:dyDescent="0.2">
      <c r="A743" s="1" t="s">
        <v>33</v>
      </c>
      <c r="C743" s="4"/>
      <c r="D743" s="8"/>
      <c r="E743" s="4"/>
      <c r="F743" s="8"/>
      <c r="G743" s="4"/>
      <c r="H743" s="8"/>
      <c r="I743" s="4"/>
    </row>
    <row r="744" spans="1:9" x14ac:dyDescent="0.2">
      <c r="A744" s="2">
        <v>1</v>
      </c>
      <c r="B744" s="1" t="s">
        <v>207</v>
      </c>
      <c r="C744" s="4">
        <v>98</v>
      </c>
      <c r="D744" s="8">
        <v>6.81</v>
      </c>
      <c r="E744" s="4">
        <v>64</v>
      </c>
      <c r="F744" s="8">
        <v>8.52</v>
      </c>
      <c r="G744" s="4">
        <v>34</v>
      </c>
      <c r="H744" s="8">
        <v>5.01</v>
      </c>
      <c r="I744" s="4">
        <v>0</v>
      </c>
    </row>
    <row r="745" spans="1:9" x14ac:dyDescent="0.2">
      <c r="A745" s="2">
        <v>2</v>
      </c>
      <c r="B745" s="1" t="s">
        <v>168</v>
      </c>
      <c r="C745" s="4">
        <v>58</v>
      </c>
      <c r="D745" s="8">
        <v>4.03</v>
      </c>
      <c r="E745" s="4">
        <v>54</v>
      </c>
      <c r="F745" s="8">
        <v>7.19</v>
      </c>
      <c r="G745" s="4">
        <v>4</v>
      </c>
      <c r="H745" s="8">
        <v>0.59</v>
      </c>
      <c r="I745" s="4">
        <v>0</v>
      </c>
    </row>
    <row r="746" spans="1:9" x14ac:dyDescent="0.2">
      <c r="A746" s="2">
        <v>3</v>
      </c>
      <c r="B746" s="1" t="s">
        <v>170</v>
      </c>
      <c r="C746" s="4">
        <v>49</v>
      </c>
      <c r="D746" s="8">
        <v>3.41</v>
      </c>
      <c r="E746" s="4">
        <v>44</v>
      </c>
      <c r="F746" s="8">
        <v>5.86</v>
      </c>
      <c r="G746" s="4">
        <v>5</v>
      </c>
      <c r="H746" s="8">
        <v>0.74</v>
      </c>
      <c r="I746" s="4">
        <v>0</v>
      </c>
    </row>
    <row r="747" spans="1:9" x14ac:dyDescent="0.2">
      <c r="A747" s="2">
        <v>4</v>
      </c>
      <c r="B747" s="1" t="s">
        <v>163</v>
      </c>
      <c r="C747" s="4">
        <v>38</v>
      </c>
      <c r="D747" s="8">
        <v>2.64</v>
      </c>
      <c r="E747" s="4">
        <v>26</v>
      </c>
      <c r="F747" s="8">
        <v>3.46</v>
      </c>
      <c r="G747" s="4">
        <v>12</v>
      </c>
      <c r="H747" s="8">
        <v>1.77</v>
      </c>
      <c r="I747" s="4">
        <v>0</v>
      </c>
    </row>
    <row r="748" spans="1:9" x14ac:dyDescent="0.2">
      <c r="A748" s="2">
        <v>4</v>
      </c>
      <c r="B748" s="1" t="s">
        <v>165</v>
      </c>
      <c r="C748" s="4">
        <v>38</v>
      </c>
      <c r="D748" s="8">
        <v>2.64</v>
      </c>
      <c r="E748" s="4">
        <v>33</v>
      </c>
      <c r="F748" s="8">
        <v>4.3899999999999997</v>
      </c>
      <c r="G748" s="4">
        <v>5</v>
      </c>
      <c r="H748" s="8">
        <v>0.74</v>
      </c>
      <c r="I748" s="4">
        <v>0</v>
      </c>
    </row>
    <row r="749" spans="1:9" x14ac:dyDescent="0.2">
      <c r="A749" s="2">
        <v>6</v>
      </c>
      <c r="B749" s="1" t="s">
        <v>167</v>
      </c>
      <c r="C749" s="4">
        <v>33</v>
      </c>
      <c r="D749" s="8">
        <v>2.29</v>
      </c>
      <c r="E749" s="4">
        <v>32</v>
      </c>
      <c r="F749" s="8">
        <v>4.26</v>
      </c>
      <c r="G749" s="4">
        <v>1</v>
      </c>
      <c r="H749" s="8">
        <v>0.15</v>
      </c>
      <c r="I749" s="4">
        <v>0</v>
      </c>
    </row>
    <row r="750" spans="1:9" x14ac:dyDescent="0.2">
      <c r="A750" s="2">
        <v>7</v>
      </c>
      <c r="B750" s="1" t="s">
        <v>158</v>
      </c>
      <c r="C750" s="4">
        <v>32</v>
      </c>
      <c r="D750" s="8">
        <v>2.2200000000000002</v>
      </c>
      <c r="E750" s="4">
        <v>17</v>
      </c>
      <c r="F750" s="8">
        <v>2.2599999999999998</v>
      </c>
      <c r="G750" s="4">
        <v>15</v>
      </c>
      <c r="H750" s="8">
        <v>2.21</v>
      </c>
      <c r="I750" s="4">
        <v>0</v>
      </c>
    </row>
    <row r="751" spans="1:9" x14ac:dyDescent="0.2">
      <c r="A751" s="2">
        <v>8</v>
      </c>
      <c r="B751" s="1" t="s">
        <v>161</v>
      </c>
      <c r="C751" s="4">
        <v>30</v>
      </c>
      <c r="D751" s="8">
        <v>2.08</v>
      </c>
      <c r="E751" s="4">
        <v>20</v>
      </c>
      <c r="F751" s="8">
        <v>2.66</v>
      </c>
      <c r="G751" s="4">
        <v>10</v>
      </c>
      <c r="H751" s="8">
        <v>1.47</v>
      </c>
      <c r="I751" s="4">
        <v>0</v>
      </c>
    </row>
    <row r="752" spans="1:9" x14ac:dyDescent="0.2">
      <c r="A752" s="2">
        <v>9</v>
      </c>
      <c r="B752" s="1" t="s">
        <v>214</v>
      </c>
      <c r="C752" s="4">
        <v>28</v>
      </c>
      <c r="D752" s="8">
        <v>1.95</v>
      </c>
      <c r="E752" s="4">
        <v>20</v>
      </c>
      <c r="F752" s="8">
        <v>2.66</v>
      </c>
      <c r="G752" s="4">
        <v>8</v>
      </c>
      <c r="H752" s="8">
        <v>1.18</v>
      </c>
      <c r="I752" s="4">
        <v>0</v>
      </c>
    </row>
    <row r="753" spans="1:9" x14ac:dyDescent="0.2">
      <c r="A753" s="2">
        <v>10</v>
      </c>
      <c r="B753" s="1" t="s">
        <v>152</v>
      </c>
      <c r="C753" s="4">
        <v>27</v>
      </c>
      <c r="D753" s="8">
        <v>1.88</v>
      </c>
      <c r="E753" s="4">
        <v>0</v>
      </c>
      <c r="F753" s="8">
        <v>0</v>
      </c>
      <c r="G753" s="4">
        <v>27</v>
      </c>
      <c r="H753" s="8">
        <v>3.98</v>
      </c>
      <c r="I753" s="4">
        <v>0</v>
      </c>
    </row>
    <row r="754" spans="1:9" x14ac:dyDescent="0.2">
      <c r="A754" s="2">
        <v>11</v>
      </c>
      <c r="B754" s="1" t="s">
        <v>171</v>
      </c>
      <c r="C754" s="4">
        <v>26</v>
      </c>
      <c r="D754" s="8">
        <v>1.81</v>
      </c>
      <c r="E754" s="4">
        <v>22</v>
      </c>
      <c r="F754" s="8">
        <v>2.93</v>
      </c>
      <c r="G754" s="4">
        <v>4</v>
      </c>
      <c r="H754" s="8">
        <v>0.59</v>
      </c>
      <c r="I754" s="4">
        <v>0</v>
      </c>
    </row>
    <row r="755" spans="1:9" x14ac:dyDescent="0.2">
      <c r="A755" s="2">
        <v>12</v>
      </c>
      <c r="B755" s="1" t="s">
        <v>154</v>
      </c>
      <c r="C755" s="4">
        <v>24</v>
      </c>
      <c r="D755" s="8">
        <v>1.67</v>
      </c>
      <c r="E755" s="4">
        <v>9</v>
      </c>
      <c r="F755" s="8">
        <v>1.2</v>
      </c>
      <c r="G755" s="4">
        <v>15</v>
      </c>
      <c r="H755" s="8">
        <v>2.21</v>
      </c>
      <c r="I755" s="4">
        <v>0</v>
      </c>
    </row>
    <row r="756" spans="1:9" x14ac:dyDescent="0.2">
      <c r="A756" s="2">
        <v>12</v>
      </c>
      <c r="B756" s="1" t="s">
        <v>186</v>
      </c>
      <c r="C756" s="4">
        <v>24</v>
      </c>
      <c r="D756" s="8">
        <v>1.67</v>
      </c>
      <c r="E756" s="4">
        <v>12</v>
      </c>
      <c r="F756" s="8">
        <v>1.6</v>
      </c>
      <c r="G756" s="4">
        <v>12</v>
      </c>
      <c r="H756" s="8">
        <v>1.77</v>
      </c>
      <c r="I756" s="4">
        <v>0</v>
      </c>
    </row>
    <row r="757" spans="1:9" x14ac:dyDescent="0.2">
      <c r="A757" s="2">
        <v>14</v>
      </c>
      <c r="B757" s="1" t="s">
        <v>191</v>
      </c>
      <c r="C757" s="4">
        <v>22</v>
      </c>
      <c r="D757" s="8">
        <v>1.53</v>
      </c>
      <c r="E757" s="4">
        <v>10</v>
      </c>
      <c r="F757" s="8">
        <v>1.33</v>
      </c>
      <c r="G757" s="4">
        <v>12</v>
      </c>
      <c r="H757" s="8">
        <v>1.77</v>
      </c>
      <c r="I757" s="4">
        <v>0</v>
      </c>
    </row>
    <row r="758" spans="1:9" x14ac:dyDescent="0.2">
      <c r="A758" s="2">
        <v>14</v>
      </c>
      <c r="B758" s="1" t="s">
        <v>166</v>
      </c>
      <c r="C758" s="4">
        <v>22</v>
      </c>
      <c r="D758" s="8">
        <v>1.53</v>
      </c>
      <c r="E758" s="4">
        <v>20</v>
      </c>
      <c r="F758" s="8">
        <v>2.66</v>
      </c>
      <c r="G758" s="4">
        <v>2</v>
      </c>
      <c r="H758" s="8">
        <v>0.28999999999999998</v>
      </c>
      <c r="I758" s="4">
        <v>0</v>
      </c>
    </row>
    <row r="759" spans="1:9" x14ac:dyDescent="0.2">
      <c r="A759" s="2">
        <v>16</v>
      </c>
      <c r="B759" s="1" t="s">
        <v>153</v>
      </c>
      <c r="C759" s="4">
        <v>20</v>
      </c>
      <c r="D759" s="8">
        <v>1.39</v>
      </c>
      <c r="E759" s="4">
        <v>3</v>
      </c>
      <c r="F759" s="8">
        <v>0.4</v>
      </c>
      <c r="G759" s="4">
        <v>17</v>
      </c>
      <c r="H759" s="8">
        <v>2.5</v>
      </c>
      <c r="I759" s="4">
        <v>0</v>
      </c>
    </row>
    <row r="760" spans="1:9" x14ac:dyDescent="0.2">
      <c r="A760" s="2">
        <v>16</v>
      </c>
      <c r="B760" s="1" t="s">
        <v>155</v>
      </c>
      <c r="C760" s="4">
        <v>20</v>
      </c>
      <c r="D760" s="8">
        <v>1.39</v>
      </c>
      <c r="E760" s="4">
        <v>5</v>
      </c>
      <c r="F760" s="8">
        <v>0.67</v>
      </c>
      <c r="G760" s="4">
        <v>15</v>
      </c>
      <c r="H760" s="8">
        <v>2.21</v>
      </c>
      <c r="I760" s="4">
        <v>0</v>
      </c>
    </row>
    <row r="761" spans="1:9" x14ac:dyDescent="0.2">
      <c r="A761" s="2">
        <v>18</v>
      </c>
      <c r="B761" s="1" t="s">
        <v>160</v>
      </c>
      <c r="C761" s="4">
        <v>19</v>
      </c>
      <c r="D761" s="8">
        <v>1.32</v>
      </c>
      <c r="E761" s="4">
        <v>1</v>
      </c>
      <c r="F761" s="8">
        <v>0.13</v>
      </c>
      <c r="G761" s="4">
        <v>18</v>
      </c>
      <c r="H761" s="8">
        <v>2.65</v>
      </c>
      <c r="I761" s="4">
        <v>0</v>
      </c>
    </row>
    <row r="762" spans="1:9" x14ac:dyDescent="0.2">
      <c r="A762" s="2">
        <v>19</v>
      </c>
      <c r="B762" s="1" t="s">
        <v>179</v>
      </c>
      <c r="C762" s="4">
        <v>18</v>
      </c>
      <c r="D762" s="8">
        <v>1.25</v>
      </c>
      <c r="E762" s="4">
        <v>12</v>
      </c>
      <c r="F762" s="8">
        <v>1.6</v>
      </c>
      <c r="G762" s="4">
        <v>6</v>
      </c>
      <c r="H762" s="8">
        <v>0.88</v>
      </c>
      <c r="I762" s="4">
        <v>0</v>
      </c>
    </row>
    <row r="763" spans="1:9" x14ac:dyDescent="0.2">
      <c r="A763" s="2">
        <v>20</v>
      </c>
      <c r="B763" s="1" t="s">
        <v>210</v>
      </c>
      <c r="C763" s="4">
        <v>17</v>
      </c>
      <c r="D763" s="8">
        <v>1.18</v>
      </c>
      <c r="E763" s="4">
        <v>9</v>
      </c>
      <c r="F763" s="8">
        <v>1.2</v>
      </c>
      <c r="G763" s="4">
        <v>8</v>
      </c>
      <c r="H763" s="8">
        <v>1.18</v>
      </c>
      <c r="I763" s="4">
        <v>0</v>
      </c>
    </row>
    <row r="764" spans="1:9" x14ac:dyDescent="0.2">
      <c r="A764" s="2">
        <v>20</v>
      </c>
      <c r="B764" s="1" t="s">
        <v>157</v>
      </c>
      <c r="C764" s="4">
        <v>17</v>
      </c>
      <c r="D764" s="8">
        <v>1.18</v>
      </c>
      <c r="E764" s="4">
        <v>8</v>
      </c>
      <c r="F764" s="8">
        <v>1.07</v>
      </c>
      <c r="G764" s="4">
        <v>9</v>
      </c>
      <c r="H764" s="8">
        <v>1.33</v>
      </c>
      <c r="I764" s="4">
        <v>0</v>
      </c>
    </row>
    <row r="765" spans="1:9" x14ac:dyDescent="0.2">
      <c r="A765" s="1"/>
      <c r="C765" s="4"/>
      <c r="D765" s="8"/>
      <c r="E765" s="4"/>
      <c r="F765" s="8"/>
      <c r="G765" s="4"/>
      <c r="H765" s="8"/>
      <c r="I765" s="4"/>
    </row>
    <row r="766" spans="1:9" x14ac:dyDescent="0.2">
      <c r="A766" s="1" t="s">
        <v>34</v>
      </c>
      <c r="C766" s="4"/>
      <c r="D766" s="8"/>
      <c r="E766" s="4"/>
      <c r="F766" s="8"/>
      <c r="G766" s="4"/>
      <c r="H766" s="8"/>
      <c r="I766" s="4"/>
    </row>
    <row r="767" spans="1:9" x14ac:dyDescent="0.2">
      <c r="A767" s="2">
        <v>1</v>
      </c>
      <c r="B767" s="1" t="s">
        <v>168</v>
      </c>
      <c r="C767" s="4">
        <v>93</v>
      </c>
      <c r="D767" s="8">
        <v>5.04</v>
      </c>
      <c r="E767" s="4">
        <v>82</v>
      </c>
      <c r="F767" s="8">
        <v>8.44</v>
      </c>
      <c r="G767" s="4">
        <v>11</v>
      </c>
      <c r="H767" s="8">
        <v>1.28</v>
      </c>
      <c r="I767" s="4">
        <v>0</v>
      </c>
    </row>
    <row r="768" spans="1:9" x14ac:dyDescent="0.2">
      <c r="A768" s="2">
        <v>2</v>
      </c>
      <c r="B768" s="1" t="s">
        <v>165</v>
      </c>
      <c r="C768" s="4">
        <v>80</v>
      </c>
      <c r="D768" s="8">
        <v>4.34</v>
      </c>
      <c r="E768" s="4">
        <v>75</v>
      </c>
      <c r="F768" s="8">
        <v>7.72</v>
      </c>
      <c r="G768" s="4">
        <v>5</v>
      </c>
      <c r="H768" s="8">
        <v>0.57999999999999996</v>
      </c>
      <c r="I768" s="4">
        <v>0</v>
      </c>
    </row>
    <row r="769" spans="1:9" x14ac:dyDescent="0.2">
      <c r="A769" s="2">
        <v>3</v>
      </c>
      <c r="B769" s="1" t="s">
        <v>171</v>
      </c>
      <c r="C769" s="4">
        <v>73</v>
      </c>
      <c r="D769" s="8">
        <v>3.96</v>
      </c>
      <c r="E769" s="4">
        <v>62</v>
      </c>
      <c r="F769" s="8">
        <v>6.38</v>
      </c>
      <c r="G769" s="4">
        <v>11</v>
      </c>
      <c r="H769" s="8">
        <v>1.28</v>
      </c>
      <c r="I769" s="4">
        <v>0</v>
      </c>
    </row>
    <row r="770" spans="1:9" x14ac:dyDescent="0.2">
      <c r="A770" s="2">
        <v>4</v>
      </c>
      <c r="B770" s="1" t="s">
        <v>170</v>
      </c>
      <c r="C770" s="4">
        <v>66</v>
      </c>
      <c r="D770" s="8">
        <v>3.58</v>
      </c>
      <c r="E770" s="4">
        <v>54</v>
      </c>
      <c r="F770" s="8">
        <v>5.56</v>
      </c>
      <c r="G770" s="4">
        <v>12</v>
      </c>
      <c r="H770" s="8">
        <v>1.39</v>
      </c>
      <c r="I770" s="4">
        <v>0</v>
      </c>
    </row>
    <row r="771" spans="1:9" x14ac:dyDescent="0.2">
      <c r="A771" s="2">
        <v>5</v>
      </c>
      <c r="B771" s="1" t="s">
        <v>167</v>
      </c>
      <c r="C771" s="4">
        <v>60</v>
      </c>
      <c r="D771" s="8">
        <v>3.25</v>
      </c>
      <c r="E771" s="4">
        <v>58</v>
      </c>
      <c r="F771" s="8">
        <v>5.97</v>
      </c>
      <c r="G771" s="4">
        <v>2</v>
      </c>
      <c r="H771" s="8">
        <v>0.23</v>
      </c>
      <c r="I771" s="4">
        <v>0</v>
      </c>
    </row>
    <row r="772" spans="1:9" x14ac:dyDescent="0.2">
      <c r="A772" s="2">
        <v>6</v>
      </c>
      <c r="B772" s="1" t="s">
        <v>163</v>
      </c>
      <c r="C772" s="4">
        <v>50</v>
      </c>
      <c r="D772" s="8">
        <v>2.71</v>
      </c>
      <c r="E772" s="4">
        <v>37</v>
      </c>
      <c r="F772" s="8">
        <v>3.81</v>
      </c>
      <c r="G772" s="4">
        <v>13</v>
      </c>
      <c r="H772" s="8">
        <v>1.51</v>
      </c>
      <c r="I772" s="4">
        <v>0</v>
      </c>
    </row>
    <row r="773" spans="1:9" x14ac:dyDescent="0.2">
      <c r="A773" s="2">
        <v>7</v>
      </c>
      <c r="B773" s="1" t="s">
        <v>169</v>
      </c>
      <c r="C773" s="4">
        <v>40</v>
      </c>
      <c r="D773" s="8">
        <v>2.17</v>
      </c>
      <c r="E773" s="4">
        <v>28</v>
      </c>
      <c r="F773" s="8">
        <v>2.88</v>
      </c>
      <c r="G773" s="4">
        <v>12</v>
      </c>
      <c r="H773" s="8">
        <v>1.39</v>
      </c>
      <c r="I773" s="4">
        <v>0</v>
      </c>
    </row>
    <row r="774" spans="1:9" x14ac:dyDescent="0.2">
      <c r="A774" s="2">
        <v>8</v>
      </c>
      <c r="B774" s="1" t="s">
        <v>158</v>
      </c>
      <c r="C774" s="4">
        <v>36</v>
      </c>
      <c r="D774" s="8">
        <v>1.95</v>
      </c>
      <c r="E774" s="4">
        <v>21</v>
      </c>
      <c r="F774" s="8">
        <v>2.16</v>
      </c>
      <c r="G774" s="4">
        <v>15</v>
      </c>
      <c r="H774" s="8">
        <v>1.74</v>
      </c>
      <c r="I774" s="4">
        <v>0</v>
      </c>
    </row>
    <row r="775" spans="1:9" x14ac:dyDescent="0.2">
      <c r="A775" s="2">
        <v>8</v>
      </c>
      <c r="B775" s="1" t="s">
        <v>164</v>
      </c>
      <c r="C775" s="4">
        <v>36</v>
      </c>
      <c r="D775" s="8">
        <v>1.95</v>
      </c>
      <c r="E775" s="4">
        <v>35</v>
      </c>
      <c r="F775" s="8">
        <v>3.6</v>
      </c>
      <c r="G775" s="4">
        <v>1</v>
      </c>
      <c r="H775" s="8">
        <v>0.12</v>
      </c>
      <c r="I775" s="4">
        <v>0</v>
      </c>
    </row>
    <row r="776" spans="1:9" x14ac:dyDescent="0.2">
      <c r="A776" s="2">
        <v>10</v>
      </c>
      <c r="B776" s="1" t="s">
        <v>161</v>
      </c>
      <c r="C776" s="4">
        <v>35</v>
      </c>
      <c r="D776" s="8">
        <v>1.9</v>
      </c>
      <c r="E776" s="4">
        <v>14</v>
      </c>
      <c r="F776" s="8">
        <v>1.44</v>
      </c>
      <c r="G776" s="4">
        <v>21</v>
      </c>
      <c r="H776" s="8">
        <v>2.44</v>
      </c>
      <c r="I776" s="4">
        <v>0</v>
      </c>
    </row>
    <row r="777" spans="1:9" x14ac:dyDescent="0.2">
      <c r="A777" s="2">
        <v>11</v>
      </c>
      <c r="B777" s="1" t="s">
        <v>215</v>
      </c>
      <c r="C777" s="4">
        <v>31</v>
      </c>
      <c r="D777" s="8">
        <v>1.68</v>
      </c>
      <c r="E777" s="4">
        <v>18</v>
      </c>
      <c r="F777" s="8">
        <v>1.85</v>
      </c>
      <c r="G777" s="4">
        <v>13</v>
      </c>
      <c r="H777" s="8">
        <v>1.51</v>
      </c>
      <c r="I777" s="4">
        <v>0</v>
      </c>
    </row>
    <row r="778" spans="1:9" x14ac:dyDescent="0.2">
      <c r="A778" s="2">
        <v>11</v>
      </c>
      <c r="B778" s="1" t="s">
        <v>156</v>
      </c>
      <c r="C778" s="4">
        <v>31</v>
      </c>
      <c r="D778" s="8">
        <v>1.68</v>
      </c>
      <c r="E778" s="4">
        <v>14</v>
      </c>
      <c r="F778" s="8">
        <v>1.44</v>
      </c>
      <c r="G778" s="4">
        <v>17</v>
      </c>
      <c r="H778" s="8">
        <v>1.97</v>
      </c>
      <c r="I778" s="4">
        <v>0</v>
      </c>
    </row>
    <row r="779" spans="1:9" x14ac:dyDescent="0.2">
      <c r="A779" s="2">
        <v>13</v>
      </c>
      <c r="B779" s="1" t="s">
        <v>162</v>
      </c>
      <c r="C779" s="4">
        <v>29</v>
      </c>
      <c r="D779" s="8">
        <v>1.57</v>
      </c>
      <c r="E779" s="4">
        <v>13</v>
      </c>
      <c r="F779" s="8">
        <v>1.34</v>
      </c>
      <c r="G779" s="4">
        <v>16</v>
      </c>
      <c r="H779" s="8">
        <v>1.86</v>
      </c>
      <c r="I779" s="4">
        <v>0</v>
      </c>
    </row>
    <row r="780" spans="1:9" x14ac:dyDescent="0.2">
      <c r="A780" s="2">
        <v>14</v>
      </c>
      <c r="B780" s="1" t="s">
        <v>152</v>
      </c>
      <c r="C780" s="4">
        <v>28</v>
      </c>
      <c r="D780" s="8">
        <v>1.52</v>
      </c>
      <c r="E780" s="4">
        <v>3</v>
      </c>
      <c r="F780" s="8">
        <v>0.31</v>
      </c>
      <c r="G780" s="4">
        <v>25</v>
      </c>
      <c r="H780" s="8">
        <v>2.9</v>
      </c>
      <c r="I780" s="4">
        <v>0</v>
      </c>
    </row>
    <row r="781" spans="1:9" x14ac:dyDescent="0.2">
      <c r="A781" s="2">
        <v>15</v>
      </c>
      <c r="B781" s="1" t="s">
        <v>205</v>
      </c>
      <c r="C781" s="4">
        <v>27</v>
      </c>
      <c r="D781" s="8">
        <v>1.46</v>
      </c>
      <c r="E781" s="4">
        <v>10</v>
      </c>
      <c r="F781" s="8">
        <v>1.03</v>
      </c>
      <c r="G781" s="4">
        <v>17</v>
      </c>
      <c r="H781" s="8">
        <v>1.97</v>
      </c>
      <c r="I781" s="4">
        <v>0</v>
      </c>
    </row>
    <row r="782" spans="1:9" x14ac:dyDescent="0.2">
      <c r="A782" s="2">
        <v>16</v>
      </c>
      <c r="B782" s="1" t="s">
        <v>154</v>
      </c>
      <c r="C782" s="4">
        <v>26</v>
      </c>
      <c r="D782" s="8">
        <v>1.41</v>
      </c>
      <c r="E782" s="4">
        <v>8</v>
      </c>
      <c r="F782" s="8">
        <v>0.82</v>
      </c>
      <c r="G782" s="4">
        <v>18</v>
      </c>
      <c r="H782" s="8">
        <v>2.09</v>
      </c>
      <c r="I782" s="4">
        <v>0</v>
      </c>
    </row>
    <row r="783" spans="1:9" x14ac:dyDescent="0.2">
      <c r="A783" s="2">
        <v>17</v>
      </c>
      <c r="B783" s="1" t="s">
        <v>153</v>
      </c>
      <c r="C783" s="4">
        <v>25</v>
      </c>
      <c r="D783" s="8">
        <v>1.36</v>
      </c>
      <c r="E783" s="4">
        <v>7</v>
      </c>
      <c r="F783" s="8">
        <v>0.72</v>
      </c>
      <c r="G783" s="4">
        <v>18</v>
      </c>
      <c r="H783" s="8">
        <v>2.09</v>
      </c>
      <c r="I783" s="4">
        <v>0</v>
      </c>
    </row>
    <row r="784" spans="1:9" x14ac:dyDescent="0.2">
      <c r="A784" s="2">
        <v>17</v>
      </c>
      <c r="B784" s="1" t="s">
        <v>186</v>
      </c>
      <c r="C784" s="4">
        <v>25</v>
      </c>
      <c r="D784" s="8">
        <v>1.36</v>
      </c>
      <c r="E784" s="4">
        <v>16</v>
      </c>
      <c r="F784" s="8">
        <v>1.65</v>
      </c>
      <c r="G784" s="4">
        <v>9</v>
      </c>
      <c r="H784" s="8">
        <v>1.05</v>
      </c>
      <c r="I784" s="4">
        <v>0</v>
      </c>
    </row>
    <row r="785" spans="1:9" x14ac:dyDescent="0.2">
      <c r="A785" s="2">
        <v>17</v>
      </c>
      <c r="B785" s="1" t="s">
        <v>157</v>
      </c>
      <c r="C785" s="4">
        <v>25</v>
      </c>
      <c r="D785" s="8">
        <v>1.36</v>
      </c>
      <c r="E785" s="4">
        <v>13</v>
      </c>
      <c r="F785" s="8">
        <v>1.34</v>
      </c>
      <c r="G785" s="4">
        <v>12</v>
      </c>
      <c r="H785" s="8">
        <v>1.39</v>
      </c>
      <c r="I785" s="4">
        <v>0</v>
      </c>
    </row>
    <row r="786" spans="1:9" x14ac:dyDescent="0.2">
      <c r="A786" s="2">
        <v>20</v>
      </c>
      <c r="B786" s="1" t="s">
        <v>160</v>
      </c>
      <c r="C786" s="4">
        <v>24</v>
      </c>
      <c r="D786" s="8">
        <v>1.3</v>
      </c>
      <c r="E786" s="4">
        <v>3</v>
      </c>
      <c r="F786" s="8">
        <v>0.31</v>
      </c>
      <c r="G786" s="4">
        <v>20</v>
      </c>
      <c r="H786" s="8">
        <v>2.3199999999999998</v>
      </c>
      <c r="I786" s="4">
        <v>1</v>
      </c>
    </row>
    <row r="787" spans="1:9" x14ac:dyDescent="0.2">
      <c r="A787" s="1"/>
      <c r="C787" s="4"/>
      <c r="D787" s="8"/>
      <c r="E787" s="4"/>
      <c r="F787" s="8"/>
      <c r="G787" s="4"/>
      <c r="H787" s="8"/>
      <c r="I787" s="4"/>
    </row>
    <row r="788" spans="1:9" x14ac:dyDescent="0.2">
      <c r="A788" s="1" t="s">
        <v>35</v>
      </c>
      <c r="C788" s="4"/>
      <c r="D788" s="8"/>
      <c r="E788" s="4"/>
      <c r="F788" s="8"/>
      <c r="G788" s="4"/>
      <c r="H788" s="8"/>
      <c r="I788" s="4"/>
    </row>
    <row r="789" spans="1:9" x14ac:dyDescent="0.2">
      <c r="A789" s="2">
        <v>1</v>
      </c>
      <c r="B789" s="1" t="s">
        <v>168</v>
      </c>
      <c r="C789" s="4">
        <v>103</v>
      </c>
      <c r="D789" s="8">
        <v>3.38</v>
      </c>
      <c r="E789" s="4">
        <v>84</v>
      </c>
      <c r="F789" s="8">
        <v>8.08</v>
      </c>
      <c r="G789" s="4">
        <v>19</v>
      </c>
      <c r="H789" s="8">
        <v>0.95</v>
      </c>
      <c r="I789" s="4">
        <v>0</v>
      </c>
    </row>
    <row r="790" spans="1:9" x14ac:dyDescent="0.2">
      <c r="A790" s="2">
        <v>2</v>
      </c>
      <c r="B790" s="1" t="s">
        <v>160</v>
      </c>
      <c r="C790" s="4">
        <v>93</v>
      </c>
      <c r="D790" s="8">
        <v>3.05</v>
      </c>
      <c r="E790" s="4">
        <v>13</v>
      </c>
      <c r="F790" s="8">
        <v>1.25</v>
      </c>
      <c r="G790" s="4">
        <v>80</v>
      </c>
      <c r="H790" s="8">
        <v>4.01</v>
      </c>
      <c r="I790" s="4">
        <v>0</v>
      </c>
    </row>
    <row r="791" spans="1:9" x14ac:dyDescent="0.2">
      <c r="A791" s="2">
        <v>3</v>
      </c>
      <c r="B791" s="1" t="s">
        <v>161</v>
      </c>
      <c r="C791" s="4">
        <v>90</v>
      </c>
      <c r="D791" s="8">
        <v>2.96</v>
      </c>
      <c r="E791" s="4">
        <v>29</v>
      </c>
      <c r="F791" s="8">
        <v>2.79</v>
      </c>
      <c r="G791" s="4">
        <v>61</v>
      </c>
      <c r="H791" s="8">
        <v>3.06</v>
      </c>
      <c r="I791" s="4">
        <v>0</v>
      </c>
    </row>
    <row r="792" spans="1:9" x14ac:dyDescent="0.2">
      <c r="A792" s="2">
        <v>4</v>
      </c>
      <c r="B792" s="1" t="s">
        <v>170</v>
      </c>
      <c r="C792" s="4">
        <v>83</v>
      </c>
      <c r="D792" s="8">
        <v>2.73</v>
      </c>
      <c r="E792" s="4">
        <v>67</v>
      </c>
      <c r="F792" s="8">
        <v>6.44</v>
      </c>
      <c r="G792" s="4">
        <v>16</v>
      </c>
      <c r="H792" s="8">
        <v>0.8</v>
      </c>
      <c r="I792" s="4">
        <v>0</v>
      </c>
    </row>
    <row r="793" spans="1:9" x14ac:dyDescent="0.2">
      <c r="A793" s="2">
        <v>5</v>
      </c>
      <c r="B793" s="1" t="s">
        <v>156</v>
      </c>
      <c r="C793" s="4">
        <v>79</v>
      </c>
      <c r="D793" s="8">
        <v>2.59</v>
      </c>
      <c r="E793" s="4">
        <v>29</v>
      </c>
      <c r="F793" s="8">
        <v>2.79</v>
      </c>
      <c r="G793" s="4">
        <v>50</v>
      </c>
      <c r="H793" s="8">
        <v>2.5099999999999998</v>
      </c>
      <c r="I793" s="4">
        <v>0</v>
      </c>
    </row>
    <row r="794" spans="1:9" x14ac:dyDescent="0.2">
      <c r="A794" s="2">
        <v>6</v>
      </c>
      <c r="B794" s="1" t="s">
        <v>165</v>
      </c>
      <c r="C794" s="4">
        <v>67</v>
      </c>
      <c r="D794" s="8">
        <v>2.2000000000000002</v>
      </c>
      <c r="E794" s="4">
        <v>58</v>
      </c>
      <c r="F794" s="8">
        <v>5.58</v>
      </c>
      <c r="G794" s="4">
        <v>9</v>
      </c>
      <c r="H794" s="8">
        <v>0.45</v>
      </c>
      <c r="I794" s="4">
        <v>0</v>
      </c>
    </row>
    <row r="795" spans="1:9" x14ac:dyDescent="0.2">
      <c r="A795" s="2">
        <v>6</v>
      </c>
      <c r="B795" s="1" t="s">
        <v>167</v>
      </c>
      <c r="C795" s="4">
        <v>67</v>
      </c>
      <c r="D795" s="8">
        <v>2.2000000000000002</v>
      </c>
      <c r="E795" s="4">
        <v>59</v>
      </c>
      <c r="F795" s="8">
        <v>5.67</v>
      </c>
      <c r="G795" s="4">
        <v>8</v>
      </c>
      <c r="H795" s="8">
        <v>0.4</v>
      </c>
      <c r="I795" s="4">
        <v>0</v>
      </c>
    </row>
    <row r="796" spans="1:9" x14ac:dyDescent="0.2">
      <c r="A796" s="2">
        <v>8</v>
      </c>
      <c r="B796" s="1" t="s">
        <v>152</v>
      </c>
      <c r="C796" s="4">
        <v>60</v>
      </c>
      <c r="D796" s="8">
        <v>1.97</v>
      </c>
      <c r="E796" s="4">
        <v>6</v>
      </c>
      <c r="F796" s="8">
        <v>0.57999999999999996</v>
      </c>
      <c r="G796" s="4">
        <v>54</v>
      </c>
      <c r="H796" s="8">
        <v>2.71</v>
      </c>
      <c r="I796" s="4">
        <v>0</v>
      </c>
    </row>
    <row r="797" spans="1:9" x14ac:dyDescent="0.2">
      <c r="A797" s="2">
        <v>9</v>
      </c>
      <c r="B797" s="1" t="s">
        <v>196</v>
      </c>
      <c r="C797" s="4">
        <v>58</v>
      </c>
      <c r="D797" s="8">
        <v>1.9</v>
      </c>
      <c r="E797" s="4">
        <v>12</v>
      </c>
      <c r="F797" s="8">
        <v>1.1499999999999999</v>
      </c>
      <c r="G797" s="4">
        <v>46</v>
      </c>
      <c r="H797" s="8">
        <v>2.31</v>
      </c>
      <c r="I797" s="4">
        <v>0</v>
      </c>
    </row>
    <row r="798" spans="1:9" x14ac:dyDescent="0.2">
      <c r="A798" s="2">
        <v>10</v>
      </c>
      <c r="B798" s="1" t="s">
        <v>171</v>
      </c>
      <c r="C798" s="4">
        <v>55</v>
      </c>
      <c r="D798" s="8">
        <v>1.81</v>
      </c>
      <c r="E798" s="4">
        <v>52</v>
      </c>
      <c r="F798" s="8">
        <v>5</v>
      </c>
      <c r="G798" s="4">
        <v>3</v>
      </c>
      <c r="H798" s="8">
        <v>0.15</v>
      </c>
      <c r="I798" s="4">
        <v>0</v>
      </c>
    </row>
    <row r="799" spans="1:9" x14ac:dyDescent="0.2">
      <c r="A799" s="2">
        <v>11</v>
      </c>
      <c r="B799" s="1" t="s">
        <v>201</v>
      </c>
      <c r="C799" s="4">
        <v>52</v>
      </c>
      <c r="D799" s="8">
        <v>1.71</v>
      </c>
      <c r="E799" s="4">
        <v>9</v>
      </c>
      <c r="F799" s="8">
        <v>0.87</v>
      </c>
      <c r="G799" s="4">
        <v>43</v>
      </c>
      <c r="H799" s="8">
        <v>2.16</v>
      </c>
      <c r="I799" s="4">
        <v>0</v>
      </c>
    </row>
    <row r="800" spans="1:9" x14ac:dyDescent="0.2">
      <c r="A800" s="2">
        <v>12</v>
      </c>
      <c r="B800" s="1" t="s">
        <v>155</v>
      </c>
      <c r="C800" s="4">
        <v>49</v>
      </c>
      <c r="D800" s="8">
        <v>1.61</v>
      </c>
      <c r="E800" s="4">
        <v>6</v>
      </c>
      <c r="F800" s="8">
        <v>0.57999999999999996</v>
      </c>
      <c r="G800" s="4">
        <v>43</v>
      </c>
      <c r="H800" s="8">
        <v>2.16</v>
      </c>
      <c r="I800" s="4">
        <v>0</v>
      </c>
    </row>
    <row r="801" spans="1:9" x14ac:dyDescent="0.2">
      <c r="A801" s="2">
        <v>12</v>
      </c>
      <c r="B801" s="1" t="s">
        <v>188</v>
      </c>
      <c r="C801" s="4">
        <v>49</v>
      </c>
      <c r="D801" s="8">
        <v>1.61</v>
      </c>
      <c r="E801" s="4">
        <v>30</v>
      </c>
      <c r="F801" s="8">
        <v>2.88</v>
      </c>
      <c r="G801" s="4">
        <v>19</v>
      </c>
      <c r="H801" s="8">
        <v>0.95</v>
      </c>
      <c r="I801" s="4">
        <v>0</v>
      </c>
    </row>
    <row r="802" spans="1:9" x14ac:dyDescent="0.2">
      <c r="A802" s="2">
        <v>14</v>
      </c>
      <c r="B802" s="1" t="s">
        <v>158</v>
      </c>
      <c r="C802" s="4">
        <v>48</v>
      </c>
      <c r="D802" s="8">
        <v>1.58</v>
      </c>
      <c r="E802" s="4">
        <v>27</v>
      </c>
      <c r="F802" s="8">
        <v>2.6</v>
      </c>
      <c r="G802" s="4">
        <v>21</v>
      </c>
      <c r="H802" s="8">
        <v>1.05</v>
      </c>
      <c r="I802" s="4">
        <v>0</v>
      </c>
    </row>
    <row r="803" spans="1:9" x14ac:dyDescent="0.2">
      <c r="A803" s="2">
        <v>15</v>
      </c>
      <c r="B803" s="1" t="s">
        <v>163</v>
      </c>
      <c r="C803" s="4">
        <v>46</v>
      </c>
      <c r="D803" s="8">
        <v>1.51</v>
      </c>
      <c r="E803" s="4">
        <v>34</v>
      </c>
      <c r="F803" s="8">
        <v>3.27</v>
      </c>
      <c r="G803" s="4">
        <v>12</v>
      </c>
      <c r="H803" s="8">
        <v>0.6</v>
      </c>
      <c r="I803" s="4">
        <v>0</v>
      </c>
    </row>
    <row r="804" spans="1:9" x14ac:dyDescent="0.2">
      <c r="A804" s="2">
        <v>15</v>
      </c>
      <c r="B804" s="1" t="s">
        <v>164</v>
      </c>
      <c r="C804" s="4">
        <v>46</v>
      </c>
      <c r="D804" s="8">
        <v>1.51</v>
      </c>
      <c r="E804" s="4">
        <v>45</v>
      </c>
      <c r="F804" s="8">
        <v>4.33</v>
      </c>
      <c r="G804" s="4">
        <v>1</v>
      </c>
      <c r="H804" s="8">
        <v>0.05</v>
      </c>
      <c r="I804" s="4">
        <v>0</v>
      </c>
    </row>
    <row r="805" spans="1:9" x14ac:dyDescent="0.2">
      <c r="A805" s="2">
        <v>17</v>
      </c>
      <c r="B805" s="1" t="s">
        <v>216</v>
      </c>
      <c r="C805" s="4">
        <v>45</v>
      </c>
      <c r="D805" s="8">
        <v>1.48</v>
      </c>
      <c r="E805" s="4">
        <v>1</v>
      </c>
      <c r="F805" s="8">
        <v>0.1</v>
      </c>
      <c r="G805" s="4">
        <v>44</v>
      </c>
      <c r="H805" s="8">
        <v>2.21</v>
      </c>
      <c r="I805" s="4">
        <v>0</v>
      </c>
    </row>
    <row r="806" spans="1:9" x14ac:dyDescent="0.2">
      <c r="A806" s="2">
        <v>18</v>
      </c>
      <c r="B806" s="1" t="s">
        <v>154</v>
      </c>
      <c r="C806" s="4">
        <v>44</v>
      </c>
      <c r="D806" s="8">
        <v>1.44</v>
      </c>
      <c r="E806" s="4">
        <v>10</v>
      </c>
      <c r="F806" s="8">
        <v>0.96</v>
      </c>
      <c r="G806" s="4">
        <v>34</v>
      </c>
      <c r="H806" s="8">
        <v>1.7</v>
      </c>
      <c r="I806" s="4">
        <v>0</v>
      </c>
    </row>
    <row r="807" spans="1:9" x14ac:dyDescent="0.2">
      <c r="A807" s="2">
        <v>19</v>
      </c>
      <c r="B807" s="1" t="s">
        <v>197</v>
      </c>
      <c r="C807" s="4">
        <v>38</v>
      </c>
      <c r="D807" s="8">
        <v>1.25</v>
      </c>
      <c r="E807" s="4">
        <v>2</v>
      </c>
      <c r="F807" s="8">
        <v>0.19</v>
      </c>
      <c r="G807" s="4">
        <v>36</v>
      </c>
      <c r="H807" s="8">
        <v>1.8</v>
      </c>
      <c r="I807" s="4">
        <v>0</v>
      </c>
    </row>
    <row r="808" spans="1:9" x14ac:dyDescent="0.2">
      <c r="A808" s="2">
        <v>19</v>
      </c>
      <c r="B808" s="1" t="s">
        <v>172</v>
      </c>
      <c r="C808" s="4">
        <v>38</v>
      </c>
      <c r="D808" s="8">
        <v>1.25</v>
      </c>
      <c r="E808" s="4">
        <v>4</v>
      </c>
      <c r="F808" s="8">
        <v>0.38</v>
      </c>
      <c r="G808" s="4">
        <v>34</v>
      </c>
      <c r="H808" s="8">
        <v>1.7</v>
      </c>
      <c r="I808" s="4">
        <v>0</v>
      </c>
    </row>
    <row r="809" spans="1:9" x14ac:dyDescent="0.2">
      <c r="A809" s="1"/>
      <c r="C809" s="4"/>
      <c r="D809" s="8"/>
      <c r="E809" s="4"/>
      <c r="F809" s="8"/>
      <c r="G809" s="4"/>
      <c r="H809" s="8"/>
      <c r="I809" s="4"/>
    </row>
    <row r="810" spans="1:9" x14ac:dyDescent="0.2">
      <c r="A810" s="1" t="s">
        <v>36</v>
      </c>
      <c r="C810" s="4"/>
      <c r="D810" s="8"/>
      <c r="E810" s="4"/>
      <c r="F810" s="8"/>
      <c r="G810" s="4"/>
      <c r="H810" s="8"/>
      <c r="I810" s="4"/>
    </row>
    <row r="811" spans="1:9" x14ac:dyDescent="0.2">
      <c r="A811" s="2">
        <v>1</v>
      </c>
      <c r="B811" s="1" t="s">
        <v>161</v>
      </c>
      <c r="C811" s="4">
        <v>106</v>
      </c>
      <c r="D811" s="8">
        <v>4.6100000000000003</v>
      </c>
      <c r="E811" s="4">
        <v>60</v>
      </c>
      <c r="F811" s="8">
        <v>5.31</v>
      </c>
      <c r="G811" s="4">
        <v>46</v>
      </c>
      <c r="H811" s="8">
        <v>4.01</v>
      </c>
      <c r="I811" s="4">
        <v>0</v>
      </c>
    </row>
    <row r="812" spans="1:9" x14ac:dyDescent="0.2">
      <c r="A812" s="2">
        <v>2</v>
      </c>
      <c r="B812" s="1" t="s">
        <v>168</v>
      </c>
      <c r="C812" s="4">
        <v>100</v>
      </c>
      <c r="D812" s="8">
        <v>4.3499999999999996</v>
      </c>
      <c r="E812" s="4">
        <v>89</v>
      </c>
      <c r="F812" s="8">
        <v>7.88</v>
      </c>
      <c r="G812" s="4">
        <v>11</v>
      </c>
      <c r="H812" s="8">
        <v>0.96</v>
      </c>
      <c r="I812" s="4">
        <v>0</v>
      </c>
    </row>
    <row r="813" spans="1:9" x14ac:dyDescent="0.2">
      <c r="A813" s="2">
        <v>3</v>
      </c>
      <c r="B813" s="1" t="s">
        <v>165</v>
      </c>
      <c r="C813" s="4">
        <v>81</v>
      </c>
      <c r="D813" s="8">
        <v>3.52</v>
      </c>
      <c r="E813" s="4">
        <v>75</v>
      </c>
      <c r="F813" s="8">
        <v>6.64</v>
      </c>
      <c r="G813" s="4">
        <v>6</v>
      </c>
      <c r="H813" s="8">
        <v>0.52</v>
      </c>
      <c r="I813" s="4">
        <v>0</v>
      </c>
    </row>
    <row r="814" spans="1:9" x14ac:dyDescent="0.2">
      <c r="A814" s="2">
        <v>4</v>
      </c>
      <c r="B814" s="1" t="s">
        <v>163</v>
      </c>
      <c r="C814" s="4">
        <v>72</v>
      </c>
      <c r="D814" s="8">
        <v>3.13</v>
      </c>
      <c r="E814" s="4">
        <v>52</v>
      </c>
      <c r="F814" s="8">
        <v>4.6100000000000003</v>
      </c>
      <c r="G814" s="4">
        <v>20</v>
      </c>
      <c r="H814" s="8">
        <v>1.75</v>
      </c>
      <c r="I814" s="4">
        <v>0</v>
      </c>
    </row>
    <row r="815" spans="1:9" x14ac:dyDescent="0.2">
      <c r="A815" s="2">
        <v>5</v>
      </c>
      <c r="B815" s="1" t="s">
        <v>171</v>
      </c>
      <c r="C815" s="4">
        <v>69</v>
      </c>
      <c r="D815" s="8">
        <v>3</v>
      </c>
      <c r="E815" s="4">
        <v>63</v>
      </c>
      <c r="F815" s="8">
        <v>5.58</v>
      </c>
      <c r="G815" s="4">
        <v>6</v>
      </c>
      <c r="H815" s="8">
        <v>0.52</v>
      </c>
      <c r="I815" s="4">
        <v>0</v>
      </c>
    </row>
    <row r="816" spans="1:9" x14ac:dyDescent="0.2">
      <c r="A816" s="2">
        <v>6</v>
      </c>
      <c r="B816" s="1" t="s">
        <v>170</v>
      </c>
      <c r="C816" s="4">
        <v>67</v>
      </c>
      <c r="D816" s="8">
        <v>2.91</v>
      </c>
      <c r="E816" s="4">
        <v>43</v>
      </c>
      <c r="F816" s="8">
        <v>3.81</v>
      </c>
      <c r="G816" s="4">
        <v>23</v>
      </c>
      <c r="H816" s="8">
        <v>2.0099999999999998</v>
      </c>
      <c r="I816" s="4">
        <v>1</v>
      </c>
    </row>
    <row r="817" spans="1:9" x14ac:dyDescent="0.2">
      <c r="A817" s="2">
        <v>7</v>
      </c>
      <c r="B817" s="1" t="s">
        <v>167</v>
      </c>
      <c r="C817" s="4">
        <v>66</v>
      </c>
      <c r="D817" s="8">
        <v>2.87</v>
      </c>
      <c r="E817" s="4">
        <v>63</v>
      </c>
      <c r="F817" s="8">
        <v>5.58</v>
      </c>
      <c r="G817" s="4">
        <v>3</v>
      </c>
      <c r="H817" s="8">
        <v>0.26</v>
      </c>
      <c r="I817" s="4">
        <v>0</v>
      </c>
    </row>
    <row r="818" spans="1:9" x14ac:dyDescent="0.2">
      <c r="A818" s="2">
        <v>8</v>
      </c>
      <c r="B818" s="1" t="s">
        <v>152</v>
      </c>
      <c r="C818" s="4">
        <v>56</v>
      </c>
      <c r="D818" s="8">
        <v>2.4300000000000002</v>
      </c>
      <c r="E818" s="4">
        <v>8</v>
      </c>
      <c r="F818" s="8">
        <v>0.71</v>
      </c>
      <c r="G818" s="4">
        <v>48</v>
      </c>
      <c r="H818" s="8">
        <v>4.1900000000000004</v>
      </c>
      <c r="I818" s="4">
        <v>0</v>
      </c>
    </row>
    <row r="819" spans="1:9" x14ac:dyDescent="0.2">
      <c r="A819" s="2">
        <v>9</v>
      </c>
      <c r="B819" s="1" t="s">
        <v>173</v>
      </c>
      <c r="C819" s="4">
        <v>48</v>
      </c>
      <c r="D819" s="8">
        <v>2.09</v>
      </c>
      <c r="E819" s="4">
        <v>18</v>
      </c>
      <c r="F819" s="8">
        <v>1.59</v>
      </c>
      <c r="G819" s="4">
        <v>30</v>
      </c>
      <c r="H819" s="8">
        <v>2.62</v>
      </c>
      <c r="I819" s="4">
        <v>0</v>
      </c>
    </row>
    <row r="820" spans="1:9" x14ac:dyDescent="0.2">
      <c r="A820" s="2">
        <v>10</v>
      </c>
      <c r="B820" s="1" t="s">
        <v>158</v>
      </c>
      <c r="C820" s="4">
        <v>41</v>
      </c>
      <c r="D820" s="8">
        <v>1.78</v>
      </c>
      <c r="E820" s="4">
        <v>24</v>
      </c>
      <c r="F820" s="8">
        <v>2.13</v>
      </c>
      <c r="G820" s="4">
        <v>16</v>
      </c>
      <c r="H820" s="8">
        <v>1.4</v>
      </c>
      <c r="I820" s="4">
        <v>1</v>
      </c>
    </row>
    <row r="821" spans="1:9" x14ac:dyDescent="0.2">
      <c r="A821" s="2">
        <v>11</v>
      </c>
      <c r="B821" s="1" t="s">
        <v>156</v>
      </c>
      <c r="C821" s="4">
        <v>40</v>
      </c>
      <c r="D821" s="8">
        <v>1.74</v>
      </c>
      <c r="E821" s="4">
        <v>17</v>
      </c>
      <c r="F821" s="8">
        <v>1.51</v>
      </c>
      <c r="G821" s="4">
        <v>23</v>
      </c>
      <c r="H821" s="8">
        <v>2.0099999999999998</v>
      </c>
      <c r="I821" s="4">
        <v>0</v>
      </c>
    </row>
    <row r="822" spans="1:9" x14ac:dyDescent="0.2">
      <c r="A822" s="2">
        <v>12</v>
      </c>
      <c r="B822" s="1" t="s">
        <v>188</v>
      </c>
      <c r="C822" s="4">
        <v>39</v>
      </c>
      <c r="D822" s="8">
        <v>1.69</v>
      </c>
      <c r="E822" s="4">
        <v>30</v>
      </c>
      <c r="F822" s="8">
        <v>2.66</v>
      </c>
      <c r="G822" s="4">
        <v>9</v>
      </c>
      <c r="H822" s="8">
        <v>0.79</v>
      </c>
      <c r="I822" s="4">
        <v>0</v>
      </c>
    </row>
    <row r="823" spans="1:9" x14ac:dyDescent="0.2">
      <c r="A823" s="2">
        <v>13</v>
      </c>
      <c r="B823" s="1" t="s">
        <v>164</v>
      </c>
      <c r="C823" s="4">
        <v>37</v>
      </c>
      <c r="D823" s="8">
        <v>1.61</v>
      </c>
      <c r="E823" s="4">
        <v>36</v>
      </c>
      <c r="F823" s="8">
        <v>3.19</v>
      </c>
      <c r="G823" s="4">
        <v>1</v>
      </c>
      <c r="H823" s="8">
        <v>0.09</v>
      </c>
      <c r="I823" s="4">
        <v>0</v>
      </c>
    </row>
    <row r="824" spans="1:9" x14ac:dyDescent="0.2">
      <c r="A824" s="2">
        <v>14</v>
      </c>
      <c r="B824" s="1" t="s">
        <v>154</v>
      </c>
      <c r="C824" s="4">
        <v>33</v>
      </c>
      <c r="D824" s="8">
        <v>1.43</v>
      </c>
      <c r="E824" s="4">
        <v>8</v>
      </c>
      <c r="F824" s="8">
        <v>0.71</v>
      </c>
      <c r="G824" s="4">
        <v>25</v>
      </c>
      <c r="H824" s="8">
        <v>2.1800000000000002</v>
      </c>
      <c r="I824" s="4">
        <v>0</v>
      </c>
    </row>
    <row r="825" spans="1:9" x14ac:dyDescent="0.2">
      <c r="A825" s="2">
        <v>14</v>
      </c>
      <c r="B825" s="1" t="s">
        <v>198</v>
      </c>
      <c r="C825" s="4">
        <v>33</v>
      </c>
      <c r="D825" s="8">
        <v>1.43</v>
      </c>
      <c r="E825" s="4">
        <v>11</v>
      </c>
      <c r="F825" s="8">
        <v>0.97</v>
      </c>
      <c r="G825" s="4">
        <v>22</v>
      </c>
      <c r="H825" s="8">
        <v>1.92</v>
      </c>
      <c r="I825" s="4">
        <v>0</v>
      </c>
    </row>
    <row r="826" spans="1:9" x14ac:dyDescent="0.2">
      <c r="A826" s="2">
        <v>16</v>
      </c>
      <c r="B826" s="1" t="s">
        <v>206</v>
      </c>
      <c r="C826" s="4">
        <v>30</v>
      </c>
      <c r="D826" s="8">
        <v>1.3</v>
      </c>
      <c r="E826" s="4">
        <v>18</v>
      </c>
      <c r="F826" s="8">
        <v>1.59</v>
      </c>
      <c r="G826" s="4">
        <v>12</v>
      </c>
      <c r="H826" s="8">
        <v>1.05</v>
      </c>
      <c r="I826" s="4">
        <v>0</v>
      </c>
    </row>
    <row r="827" spans="1:9" x14ac:dyDescent="0.2">
      <c r="A827" s="2">
        <v>16</v>
      </c>
      <c r="B827" s="1" t="s">
        <v>166</v>
      </c>
      <c r="C827" s="4">
        <v>30</v>
      </c>
      <c r="D827" s="8">
        <v>1.3</v>
      </c>
      <c r="E827" s="4">
        <v>15</v>
      </c>
      <c r="F827" s="8">
        <v>1.33</v>
      </c>
      <c r="G827" s="4">
        <v>15</v>
      </c>
      <c r="H827" s="8">
        <v>1.31</v>
      </c>
      <c r="I827" s="4">
        <v>0</v>
      </c>
    </row>
    <row r="828" spans="1:9" x14ac:dyDescent="0.2">
      <c r="A828" s="2">
        <v>18</v>
      </c>
      <c r="B828" s="1" t="s">
        <v>159</v>
      </c>
      <c r="C828" s="4">
        <v>29</v>
      </c>
      <c r="D828" s="8">
        <v>1.26</v>
      </c>
      <c r="E828" s="4">
        <v>7</v>
      </c>
      <c r="F828" s="8">
        <v>0.62</v>
      </c>
      <c r="G828" s="4">
        <v>22</v>
      </c>
      <c r="H828" s="8">
        <v>1.92</v>
      </c>
      <c r="I828" s="4">
        <v>0</v>
      </c>
    </row>
    <row r="829" spans="1:9" x14ac:dyDescent="0.2">
      <c r="A829" s="2">
        <v>19</v>
      </c>
      <c r="B829" s="1" t="s">
        <v>153</v>
      </c>
      <c r="C829" s="4">
        <v>28</v>
      </c>
      <c r="D829" s="8">
        <v>1.22</v>
      </c>
      <c r="E829" s="4">
        <v>4</v>
      </c>
      <c r="F829" s="8">
        <v>0.35</v>
      </c>
      <c r="G829" s="4">
        <v>24</v>
      </c>
      <c r="H829" s="8">
        <v>2.09</v>
      </c>
      <c r="I829" s="4">
        <v>0</v>
      </c>
    </row>
    <row r="830" spans="1:9" x14ac:dyDescent="0.2">
      <c r="A830" s="2">
        <v>19</v>
      </c>
      <c r="B830" s="1" t="s">
        <v>205</v>
      </c>
      <c r="C830" s="4">
        <v>28</v>
      </c>
      <c r="D830" s="8">
        <v>1.22</v>
      </c>
      <c r="E830" s="4">
        <v>10</v>
      </c>
      <c r="F830" s="8">
        <v>0.89</v>
      </c>
      <c r="G830" s="4">
        <v>18</v>
      </c>
      <c r="H830" s="8">
        <v>1.57</v>
      </c>
      <c r="I830" s="4">
        <v>0</v>
      </c>
    </row>
    <row r="831" spans="1:9" x14ac:dyDescent="0.2">
      <c r="A831" s="1"/>
      <c r="C831" s="4"/>
      <c r="D831" s="8"/>
      <c r="E831" s="4"/>
      <c r="F831" s="8"/>
      <c r="G831" s="4"/>
      <c r="H831" s="8"/>
      <c r="I831" s="4"/>
    </row>
    <row r="832" spans="1:9" x14ac:dyDescent="0.2">
      <c r="A832" s="1" t="s">
        <v>37</v>
      </c>
      <c r="C832" s="4"/>
      <c r="D832" s="8"/>
      <c r="E832" s="4"/>
      <c r="F832" s="8"/>
      <c r="G832" s="4"/>
      <c r="H832" s="8"/>
      <c r="I832" s="4"/>
    </row>
    <row r="833" spans="1:9" x14ac:dyDescent="0.2">
      <c r="A833" s="2">
        <v>1</v>
      </c>
      <c r="B833" s="1" t="s">
        <v>168</v>
      </c>
      <c r="C833" s="4">
        <v>63</v>
      </c>
      <c r="D833" s="8">
        <v>5.46</v>
      </c>
      <c r="E833" s="4">
        <v>59</v>
      </c>
      <c r="F833" s="8">
        <v>8.83</v>
      </c>
      <c r="G833" s="4">
        <v>4</v>
      </c>
      <c r="H833" s="8">
        <v>0.85</v>
      </c>
      <c r="I833" s="4">
        <v>0</v>
      </c>
    </row>
    <row r="834" spans="1:9" x14ac:dyDescent="0.2">
      <c r="A834" s="2">
        <v>2</v>
      </c>
      <c r="B834" s="1" t="s">
        <v>167</v>
      </c>
      <c r="C834" s="4">
        <v>52</v>
      </c>
      <c r="D834" s="8">
        <v>4.51</v>
      </c>
      <c r="E834" s="4">
        <v>52</v>
      </c>
      <c r="F834" s="8">
        <v>7.78</v>
      </c>
      <c r="G834" s="4">
        <v>0</v>
      </c>
      <c r="H834" s="8">
        <v>0</v>
      </c>
      <c r="I834" s="4">
        <v>0</v>
      </c>
    </row>
    <row r="835" spans="1:9" x14ac:dyDescent="0.2">
      <c r="A835" s="2">
        <v>3</v>
      </c>
      <c r="B835" s="1" t="s">
        <v>205</v>
      </c>
      <c r="C835" s="4">
        <v>37</v>
      </c>
      <c r="D835" s="8">
        <v>3.21</v>
      </c>
      <c r="E835" s="4">
        <v>21</v>
      </c>
      <c r="F835" s="8">
        <v>3.14</v>
      </c>
      <c r="G835" s="4">
        <v>16</v>
      </c>
      <c r="H835" s="8">
        <v>3.41</v>
      </c>
      <c r="I835" s="4">
        <v>0</v>
      </c>
    </row>
    <row r="836" spans="1:9" x14ac:dyDescent="0.2">
      <c r="A836" s="2">
        <v>4</v>
      </c>
      <c r="B836" s="1" t="s">
        <v>152</v>
      </c>
      <c r="C836" s="4">
        <v>35</v>
      </c>
      <c r="D836" s="8">
        <v>3.04</v>
      </c>
      <c r="E836" s="4">
        <v>7</v>
      </c>
      <c r="F836" s="8">
        <v>1.05</v>
      </c>
      <c r="G836" s="4">
        <v>28</v>
      </c>
      <c r="H836" s="8">
        <v>5.97</v>
      </c>
      <c r="I836" s="4">
        <v>0</v>
      </c>
    </row>
    <row r="837" spans="1:9" x14ac:dyDescent="0.2">
      <c r="A837" s="2">
        <v>5</v>
      </c>
      <c r="B837" s="1" t="s">
        <v>171</v>
      </c>
      <c r="C837" s="4">
        <v>30</v>
      </c>
      <c r="D837" s="8">
        <v>2.6</v>
      </c>
      <c r="E837" s="4">
        <v>24</v>
      </c>
      <c r="F837" s="8">
        <v>3.59</v>
      </c>
      <c r="G837" s="4">
        <v>6</v>
      </c>
      <c r="H837" s="8">
        <v>1.28</v>
      </c>
      <c r="I837" s="4">
        <v>0</v>
      </c>
    </row>
    <row r="838" spans="1:9" x14ac:dyDescent="0.2">
      <c r="A838" s="2">
        <v>6</v>
      </c>
      <c r="B838" s="1" t="s">
        <v>153</v>
      </c>
      <c r="C838" s="4">
        <v>27</v>
      </c>
      <c r="D838" s="8">
        <v>2.34</v>
      </c>
      <c r="E838" s="4">
        <v>9</v>
      </c>
      <c r="F838" s="8">
        <v>1.35</v>
      </c>
      <c r="G838" s="4">
        <v>18</v>
      </c>
      <c r="H838" s="8">
        <v>3.84</v>
      </c>
      <c r="I838" s="4">
        <v>0</v>
      </c>
    </row>
    <row r="839" spans="1:9" x14ac:dyDescent="0.2">
      <c r="A839" s="2">
        <v>7</v>
      </c>
      <c r="B839" s="1" t="s">
        <v>156</v>
      </c>
      <c r="C839" s="4">
        <v>26</v>
      </c>
      <c r="D839" s="8">
        <v>2.25</v>
      </c>
      <c r="E839" s="4">
        <v>15</v>
      </c>
      <c r="F839" s="8">
        <v>2.25</v>
      </c>
      <c r="G839" s="4">
        <v>11</v>
      </c>
      <c r="H839" s="8">
        <v>2.35</v>
      </c>
      <c r="I839" s="4">
        <v>0</v>
      </c>
    </row>
    <row r="840" spans="1:9" x14ac:dyDescent="0.2">
      <c r="A840" s="2">
        <v>7</v>
      </c>
      <c r="B840" s="1" t="s">
        <v>165</v>
      </c>
      <c r="C840" s="4">
        <v>26</v>
      </c>
      <c r="D840" s="8">
        <v>2.25</v>
      </c>
      <c r="E840" s="4">
        <v>24</v>
      </c>
      <c r="F840" s="8">
        <v>3.59</v>
      </c>
      <c r="G840" s="4">
        <v>2</v>
      </c>
      <c r="H840" s="8">
        <v>0.43</v>
      </c>
      <c r="I840" s="4">
        <v>0</v>
      </c>
    </row>
    <row r="841" spans="1:9" x14ac:dyDescent="0.2">
      <c r="A841" s="2">
        <v>9</v>
      </c>
      <c r="B841" s="1" t="s">
        <v>163</v>
      </c>
      <c r="C841" s="4">
        <v>25</v>
      </c>
      <c r="D841" s="8">
        <v>2.17</v>
      </c>
      <c r="E841" s="4">
        <v>19</v>
      </c>
      <c r="F841" s="8">
        <v>2.84</v>
      </c>
      <c r="G841" s="4">
        <v>6</v>
      </c>
      <c r="H841" s="8">
        <v>1.28</v>
      </c>
      <c r="I841" s="4">
        <v>0</v>
      </c>
    </row>
    <row r="842" spans="1:9" x14ac:dyDescent="0.2">
      <c r="A842" s="2">
        <v>9</v>
      </c>
      <c r="B842" s="1" t="s">
        <v>170</v>
      </c>
      <c r="C842" s="4">
        <v>25</v>
      </c>
      <c r="D842" s="8">
        <v>2.17</v>
      </c>
      <c r="E842" s="4">
        <v>19</v>
      </c>
      <c r="F842" s="8">
        <v>2.84</v>
      </c>
      <c r="G842" s="4">
        <v>6</v>
      </c>
      <c r="H842" s="8">
        <v>1.28</v>
      </c>
      <c r="I842" s="4">
        <v>0</v>
      </c>
    </row>
    <row r="843" spans="1:9" x14ac:dyDescent="0.2">
      <c r="A843" s="2">
        <v>11</v>
      </c>
      <c r="B843" s="1" t="s">
        <v>154</v>
      </c>
      <c r="C843" s="4">
        <v>23</v>
      </c>
      <c r="D843" s="8">
        <v>1.99</v>
      </c>
      <c r="E843" s="4">
        <v>9</v>
      </c>
      <c r="F843" s="8">
        <v>1.35</v>
      </c>
      <c r="G843" s="4">
        <v>14</v>
      </c>
      <c r="H843" s="8">
        <v>2.99</v>
      </c>
      <c r="I843" s="4">
        <v>0</v>
      </c>
    </row>
    <row r="844" spans="1:9" x14ac:dyDescent="0.2">
      <c r="A844" s="2">
        <v>12</v>
      </c>
      <c r="B844" s="1" t="s">
        <v>158</v>
      </c>
      <c r="C844" s="4">
        <v>22</v>
      </c>
      <c r="D844" s="8">
        <v>1.91</v>
      </c>
      <c r="E844" s="4">
        <v>12</v>
      </c>
      <c r="F844" s="8">
        <v>1.8</v>
      </c>
      <c r="G844" s="4">
        <v>10</v>
      </c>
      <c r="H844" s="8">
        <v>2.13</v>
      </c>
      <c r="I844" s="4">
        <v>0</v>
      </c>
    </row>
    <row r="845" spans="1:9" x14ac:dyDescent="0.2">
      <c r="A845" s="2">
        <v>12</v>
      </c>
      <c r="B845" s="1" t="s">
        <v>162</v>
      </c>
      <c r="C845" s="4">
        <v>22</v>
      </c>
      <c r="D845" s="8">
        <v>1.91</v>
      </c>
      <c r="E845" s="4">
        <v>8</v>
      </c>
      <c r="F845" s="8">
        <v>1.2</v>
      </c>
      <c r="G845" s="4">
        <v>14</v>
      </c>
      <c r="H845" s="8">
        <v>2.99</v>
      </c>
      <c r="I845" s="4">
        <v>0</v>
      </c>
    </row>
    <row r="846" spans="1:9" x14ac:dyDescent="0.2">
      <c r="A846" s="2">
        <v>14</v>
      </c>
      <c r="B846" s="1" t="s">
        <v>186</v>
      </c>
      <c r="C846" s="4">
        <v>21</v>
      </c>
      <c r="D846" s="8">
        <v>1.82</v>
      </c>
      <c r="E846" s="4">
        <v>12</v>
      </c>
      <c r="F846" s="8">
        <v>1.8</v>
      </c>
      <c r="G846" s="4">
        <v>9</v>
      </c>
      <c r="H846" s="8">
        <v>1.92</v>
      </c>
      <c r="I846" s="4">
        <v>0</v>
      </c>
    </row>
    <row r="847" spans="1:9" x14ac:dyDescent="0.2">
      <c r="A847" s="2">
        <v>14</v>
      </c>
      <c r="B847" s="1" t="s">
        <v>157</v>
      </c>
      <c r="C847" s="4">
        <v>21</v>
      </c>
      <c r="D847" s="8">
        <v>1.82</v>
      </c>
      <c r="E847" s="4">
        <v>9</v>
      </c>
      <c r="F847" s="8">
        <v>1.35</v>
      </c>
      <c r="G847" s="4">
        <v>12</v>
      </c>
      <c r="H847" s="8">
        <v>2.56</v>
      </c>
      <c r="I847" s="4">
        <v>0</v>
      </c>
    </row>
    <row r="848" spans="1:9" x14ac:dyDescent="0.2">
      <c r="A848" s="2">
        <v>16</v>
      </c>
      <c r="B848" s="1" t="s">
        <v>169</v>
      </c>
      <c r="C848" s="4">
        <v>19</v>
      </c>
      <c r="D848" s="8">
        <v>1.65</v>
      </c>
      <c r="E848" s="4">
        <v>16</v>
      </c>
      <c r="F848" s="8">
        <v>2.4</v>
      </c>
      <c r="G848" s="4">
        <v>3</v>
      </c>
      <c r="H848" s="8">
        <v>0.64</v>
      </c>
      <c r="I848" s="4">
        <v>0</v>
      </c>
    </row>
    <row r="849" spans="1:9" x14ac:dyDescent="0.2">
      <c r="A849" s="2">
        <v>17</v>
      </c>
      <c r="B849" s="1" t="s">
        <v>210</v>
      </c>
      <c r="C849" s="4">
        <v>18</v>
      </c>
      <c r="D849" s="8">
        <v>1.56</v>
      </c>
      <c r="E849" s="4">
        <v>17</v>
      </c>
      <c r="F849" s="8">
        <v>2.54</v>
      </c>
      <c r="G849" s="4">
        <v>1</v>
      </c>
      <c r="H849" s="8">
        <v>0.21</v>
      </c>
      <c r="I849" s="4">
        <v>0</v>
      </c>
    </row>
    <row r="850" spans="1:9" x14ac:dyDescent="0.2">
      <c r="A850" s="2">
        <v>18</v>
      </c>
      <c r="B850" s="1" t="s">
        <v>155</v>
      </c>
      <c r="C850" s="4">
        <v>16</v>
      </c>
      <c r="D850" s="8">
        <v>1.39</v>
      </c>
      <c r="E850" s="4">
        <v>6</v>
      </c>
      <c r="F850" s="8">
        <v>0.9</v>
      </c>
      <c r="G850" s="4">
        <v>10</v>
      </c>
      <c r="H850" s="8">
        <v>2.13</v>
      </c>
      <c r="I850" s="4">
        <v>0</v>
      </c>
    </row>
    <row r="851" spans="1:9" x14ac:dyDescent="0.2">
      <c r="A851" s="2">
        <v>18</v>
      </c>
      <c r="B851" s="1" t="s">
        <v>166</v>
      </c>
      <c r="C851" s="4">
        <v>16</v>
      </c>
      <c r="D851" s="8">
        <v>1.39</v>
      </c>
      <c r="E851" s="4">
        <v>14</v>
      </c>
      <c r="F851" s="8">
        <v>2.1</v>
      </c>
      <c r="G851" s="4">
        <v>2</v>
      </c>
      <c r="H851" s="8">
        <v>0.43</v>
      </c>
      <c r="I851" s="4">
        <v>0</v>
      </c>
    </row>
    <row r="852" spans="1:9" x14ac:dyDescent="0.2">
      <c r="A852" s="2">
        <v>20</v>
      </c>
      <c r="B852" s="1" t="s">
        <v>217</v>
      </c>
      <c r="C852" s="4">
        <v>14</v>
      </c>
      <c r="D852" s="8">
        <v>1.21</v>
      </c>
      <c r="E852" s="4">
        <v>11</v>
      </c>
      <c r="F852" s="8">
        <v>1.65</v>
      </c>
      <c r="G852" s="4">
        <v>3</v>
      </c>
      <c r="H852" s="8">
        <v>0.64</v>
      </c>
      <c r="I852" s="4">
        <v>0</v>
      </c>
    </row>
    <row r="853" spans="1:9" x14ac:dyDescent="0.2">
      <c r="A853" s="2">
        <v>20</v>
      </c>
      <c r="B853" s="1" t="s">
        <v>218</v>
      </c>
      <c r="C853" s="4">
        <v>14</v>
      </c>
      <c r="D853" s="8">
        <v>1.21</v>
      </c>
      <c r="E853" s="4">
        <v>3</v>
      </c>
      <c r="F853" s="8">
        <v>0.45</v>
      </c>
      <c r="G853" s="4">
        <v>11</v>
      </c>
      <c r="H853" s="8">
        <v>2.35</v>
      </c>
      <c r="I853" s="4">
        <v>0</v>
      </c>
    </row>
    <row r="854" spans="1:9" x14ac:dyDescent="0.2">
      <c r="A854" s="1"/>
      <c r="C854" s="4"/>
      <c r="D854" s="8"/>
      <c r="E854" s="4"/>
      <c r="F854" s="8"/>
      <c r="G854" s="4"/>
      <c r="H854" s="8"/>
      <c r="I854" s="4"/>
    </row>
    <row r="855" spans="1:9" x14ac:dyDescent="0.2">
      <c r="A855" s="1" t="s">
        <v>38</v>
      </c>
      <c r="C855" s="4"/>
      <c r="D855" s="8"/>
      <c r="E855" s="4"/>
      <c r="F855" s="8"/>
      <c r="G855" s="4"/>
      <c r="H855" s="8"/>
      <c r="I855" s="4"/>
    </row>
    <row r="856" spans="1:9" x14ac:dyDescent="0.2">
      <c r="A856" s="2">
        <v>1</v>
      </c>
      <c r="B856" s="1" t="s">
        <v>168</v>
      </c>
      <c r="C856" s="4">
        <v>114</v>
      </c>
      <c r="D856" s="8">
        <v>5.66</v>
      </c>
      <c r="E856" s="4">
        <v>92</v>
      </c>
      <c r="F856" s="8">
        <v>10.54</v>
      </c>
      <c r="G856" s="4">
        <v>22</v>
      </c>
      <c r="H856" s="8">
        <v>1.96</v>
      </c>
      <c r="I856" s="4">
        <v>0</v>
      </c>
    </row>
    <row r="857" spans="1:9" x14ac:dyDescent="0.2">
      <c r="A857" s="2">
        <v>2</v>
      </c>
      <c r="B857" s="1" t="s">
        <v>161</v>
      </c>
      <c r="C857" s="4">
        <v>93</v>
      </c>
      <c r="D857" s="8">
        <v>4.62</v>
      </c>
      <c r="E857" s="4">
        <v>62</v>
      </c>
      <c r="F857" s="8">
        <v>7.1</v>
      </c>
      <c r="G857" s="4">
        <v>31</v>
      </c>
      <c r="H857" s="8">
        <v>2.77</v>
      </c>
      <c r="I857" s="4">
        <v>0</v>
      </c>
    </row>
    <row r="858" spans="1:9" x14ac:dyDescent="0.2">
      <c r="A858" s="2">
        <v>3</v>
      </c>
      <c r="B858" s="1" t="s">
        <v>167</v>
      </c>
      <c r="C858" s="4">
        <v>58</v>
      </c>
      <c r="D858" s="8">
        <v>2.88</v>
      </c>
      <c r="E858" s="4">
        <v>50</v>
      </c>
      <c r="F858" s="8">
        <v>5.73</v>
      </c>
      <c r="G858" s="4">
        <v>8</v>
      </c>
      <c r="H858" s="8">
        <v>0.71</v>
      </c>
      <c r="I858" s="4">
        <v>0</v>
      </c>
    </row>
    <row r="859" spans="1:9" x14ac:dyDescent="0.2">
      <c r="A859" s="2">
        <v>4</v>
      </c>
      <c r="B859" s="1" t="s">
        <v>165</v>
      </c>
      <c r="C859" s="4">
        <v>56</v>
      </c>
      <c r="D859" s="8">
        <v>2.78</v>
      </c>
      <c r="E859" s="4">
        <v>54</v>
      </c>
      <c r="F859" s="8">
        <v>6.19</v>
      </c>
      <c r="G859" s="4">
        <v>2</v>
      </c>
      <c r="H859" s="8">
        <v>0.18</v>
      </c>
      <c r="I859" s="4">
        <v>0</v>
      </c>
    </row>
    <row r="860" spans="1:9" x14ac:dyDescent="0.2">
      <c r="A860" s="2">
        <v>5</v>
      </c>
      <c r="B860" s="1" t="s">
        <v>170</v>
      </c>
      <c r="C860" s="4">
        <v>50</v>
      </c>
      <c r="D860" s="8">
        <v>2.48</v>
      </c>
      <c r="E860" s="4">
        <v>39</v>
      </c>
      <c r="F860" s="8">
        <v>4.47</v>
      </c>
      <c r="G860" s="4">
        <v>11</v>
      </c>
      <c r="H860" s="8">
        <v>0.98</v>
      </c>
      <c r="I860" s="4">
        <v>0</v>
      </c>
    </row>
    <row r="861" spans="1:9" x14ac:dyDescent="0.2">
      <c r="A861" s="2">
        <v>6</v>
      </c>
      <c r="B861" s="1" t="s">
        <v>164</v>
      </c>
      <c r="C861" s="4">
        <v>47</v>
      </c>
      <c r="D861" s="8">
        <v>2.33</v>
      </c>
      <c r="E861" s="4">
        <v>45</v>
      </c>
      <c r="F861" s="8">
        <v>5.15</v>
      </c>
      <c r="G861" s="4">
        <v>2</v>
      </c>
      <c r="H861" s="8">
        <v>0.18</v>
      </c>
      <c r="I861" s="4">
        <v>0</v>
      </c>
    </row>
    <row r="862" spans="1:9" x14ac:dyDescent="0.2">
      <c r="A862" s="2">
        <v>6</v>
      </c>
      <c r="B862" s="1" t="s">
        <v>171</v>
      </c>
      <c r="C862" s="4">
        <v>47</v>
      </c>
      <c r="D862" s="8">
        <v>2.33</v>
      </c>
      <c r="E862" s="4">
        <v>41</v>
      </c>
      <c r="F862" s="8">
        <v>4.7</v>
      </c>
      <c r="G862" s="4">
        <v>6</v>
      </c>
      <c r="H862" s="8">
        <v>0.54</v>
      </c>
      <c r="I862" s="4">
        <v>0</v>
      </c>
    </row>
    <row r="863" spans="1:9" x14ac:dyDescent="0.2">
      <c r="A863" s="2">
        <v>8</v>
      </c>
      <c r="B863" s="1" t="s">
        <v>155</v>
      </c>
      <c r="C863" s="4">
        <v>46</v>
      </c>
      <c r="D863" s="8">
        <v>2.29</v>
      </c>
      <c r="E863" s="4">
        <v>3</v>
      </c>
      <c r="F863" s="8">
        <v>0.34</v>
      </c>
      <c r="G863" s="4">
        <v>43</v>
      </c>
      <c r="H863" s="8">
        <v>3.84</v>
      </c>
      <c r="I863" s="4">
        <v>0</v>
      </c>
    </row>
    <row r="864" spans="1:9" x14ac:dyDescent="0.2">
      <c r="A864" s="2">
        <v>9</v>
      </c>
      <c r="B864" s="1" t="s">
        <v>163</v>
      </c>
      <c r="C864" s="4">
        <v>44</v>
      </c>
      <c r="D864" s="8">
        <v>2.19</v>
      </c>
      <c r="E864" s="4">
        <v>31</v>
      </c>
      <c r="F864" s="8">
        <v>3.55</v>
      </c>
      <c r="G864" s="4">
        <v>13</v>
      </c>
      <c r="H864" s="8">
        <v>1.1599999999999999</v>
      </c>
      <c r="I864" s="4">
        <v>0</v>
      </c>
    </row>
    <row r="865" spans="1:9" x14ac:dyDescent="0.2">
      <c r="A865" s="2">
        <v>10</v>
      </c>
      <c r="B865" s="1" t="s">
        <v>156</v>
      </c>
      <c r="C865" s="4">
        <v>43</v>
      </c>
      <c r="D865" s="8">
        <v>2.14</v>
      </c>
      <c r="E865" s="4">
        <v>17</v>
      </c>
      <c r="F865" s="8">
        <v>1.95</v>
      </c>
      <c r="G865" s="4">
        <v>26</v>
      </c>
      <c r="H865" s="8">
        <v>2.3199999999999998</v>
      </c>
      <c r="I865" s="4">
        <v>0</v>
      </c>
    </row>
    <row r="866" spans="1:9" x14ac:dyDescent="0.2">
      <c r="A866" s="2">
        <v>11</v>
      </c>
      <c r="B866" s="1" t="s">
        <v>152</v>
      </c>
      <c r="C866" s="4">
        <v>34</v>
      </c>
      <c r="D866" s="8">
        <v>1.69</v>
      </c>
      <c r="E866" s="4">
        <v>1</v>
      </c>
      <c r="F866" s="8">
        <v>0.11</v>
      </c>
      <c r="G866" s="4">
        <v>33</v>
      </c>
      <c r="H866" s="8">
        <v>2.94</v>
      </c>
      <c r="I866" s="4">
        <v>0</v>
      </c>
    </row>
    <row r="867" spans="1:9" x14ac:dyDescent="0.2">
      <c r="A867" s="2">
        <v>11</v>
      </c>
      <c r="B867" s="1" t="s">
        <v>153</v>
      </c>
      <c r="C867" s="4">
        <v>34</v>
      </c>
      <c r="D867" s="8">
        <v>1.69</v>
      </c>
      <c r="E867" s="4">
        <v>4</v>
      </c>
      <c r="F867" s="8">
        <v>0.46</v>
      </c>
      <c r="G867" s="4">
        <v>30</v>
      </c>
      <c r="H867" s="8">
        <v>2.68</v>
      </c>
      <c r="I867" s="4">
        <v>0</v>
      </c>
    </row>
    <row r="868" spans="1:9" x14ac:dyDescent="0.2">
      <c r="A868" s="2">
        <v>11</v>
      </c>
      <c r="B868" s="1" t="s">
        <v>154</v>
      </c>
      <c r="C868" s="4">
        <v>34</v>
      </c>
      <c r="D868" s="8">
        <v>1.69</v>
      </c>
      <c r="E868" s="4">
        <v>4</v>
      </c>
      <c r="F868" s="8">
        <v>0.46</v>
      </c>
      <c r="G868" s="4">
        <v>30</v>
      </c>
      <c r="H868" s="8">
        <v>2.68</v>
      </c>
      <c r="I868" s="4">
        <v>0</v>
      </c>
    </row>
    <row r="869" spans="1:9" x14ac:dyDescent="0.2">
      <c r="A869" s="2">
        <v>11</v>
      </c>
      <c r="B869" s="1" t="s">
        <v>176</v>
      </c>
      <c r="C869" s="4">
        <v>34</v>
      </c>
      <c r="D869" s="8">
        <v>1.69</v>
      </c>
      <c r="E869" s="4">
        <v>33</v>
      </c>
      <c r="F869" s="8">
        <v>3.78</v>
      </c>
      <c r="G869" s="4">
        <v>1</v>
      </c>
      <c r="H869" s="8">
        <v>0.09</v>
      </c>
      <c r="I869" s="4">
        <v>0</v>
      </c>
    </row>
    <row r="870" spans="1:9" x14ac:dyDescent="0.2">
      <c r="A870" s="2">
        <v>15</v>
      </c>
      <c r="B870" s="1" t="s">
        <v>160</v>
      </c>
      <c r="C870" s="4">
        <v>33</v>
      </c>
      <c r="D870" s="8">
        <v>1.64</v>
      </c>
      <c r="E870" s="4">
        <v>8</v>
      </c>
      <c r="F870" s="8">
        <v>0.92</v>
      </c>
      <c r="G870" s="4">
        <v>25</v>
      </c>
      <c r="H870" s="8">
        <v>2.23</v>
      </c>
      <c r="I870" s="4">
        <v>0</v>
      </c>
    </row>
    <row r="871" spans="1:9" x14ac:dyDescent="0.2">
      <c r="A871" s="2">
        <v>15</v>
      </c>
      <c r="B871" s="1" t="s">
        <v>211</v>
      </c>
      <c r="C871" s="4">
        <v>33</v>
      </c>
      <c r="D871" s="8">
        <v>1.64</v>
      </c>
      <c r="E871" s="4">
        <v>1</v>
      </c>
      <c r="F871" s="8">
        <v>0.11</v>
      </c>
      <c r="G871" s="4">
        <v>31</v>
      </c>
      <c r="H871" s="8">
        <v>2.77</v>
      </c>
      <c r="I871" s="4">
        <v>0</v>
      </c>
    </row>
    <row r="872" spans="1:9" x14ac:dyDescent="0.2">
      <c r="A872" s="2">
        <v>17</v>
      </c>
      <c r="B872" s="1" t="s">
        <v>169</v>
      </c>
      <c r="C872" s="4">
        <v>31</v>
      </c>
      <c r="D872" s="8">
        <v>1.54</v>
      </c>
      <c r="E872" s="4">
        <v>21</v>
      </c>
      <c r="F872" s="8">
        <v>2.41</v>
      </c>
      <c r="G872" s="4">
        <v>10</v>
      </c>
      <c r="H872" s="8">
        <v>0.89</v>
      </c>
      <c r="I872" s="4">
        <v>0</v>
      </c>
    </row>
    <row r="873" spans="1:9" x14ac:dyDescent="0.2">
      <c r="A873" s="2">
        <v>18</v>
      </c>
      <c r="B873" s="1" t="s">
        <v>205</v>
      </c>
      <c r="C873" s="4">
        <v>29</v>
      </c>
      <c r="D873" s="8">
        <v>1.44</v>
      </c>
      <c r="E873" s="4">
        <v>13</v>
      </c>
      <c r="F873" s="8">
        <v>1.49</v>
      </c>
      <c r="G873" s="4">
        <v>16</v>
      </c>
      <c r="H873" s="8">
        <v>1.43</v>
      </c>
      <c r="I873" s="4">
        <v>0</v>
      </c>
    </row>
    <row r="874" spans="1:9" x14ac:dyDescent="0.2">
      <c r="A874" s="2">
        <v>19</v>
      </c>
      <c r="B874" s="1" t="s">
        <v>157</v>
      </c>
      <c r="C874" s="4">
        <v>28</v>
      </c>
      <c r="D874" s="8">
        <v>1.39</v>
      </c>
      <c r="E874" s="4">
        <v>14</v>
      </c>
      <c r="F874" s="8">
        <v>1.6</v>
      </c>
      <c r="G874" s="4">
        <v>14</v>
      </c>
      <c r="H874" s="8">
        <v>1.25</v>
      </c>
      <c r="I874" s="4">
        <v>0</v>
      </c>
    </row>
    <row r="875" spans="1:9" x14ac:dyDescent="0.2">
      <c r="A875" s="2">
        <v>20</v>
      </c>
      <c r="B875" s="1" t="s">
        <v>166</v>
      </c>
      <c r="C875" s="4">
        <v>24</v>
      </c>
      <c r="D875" s="8">
        <v>1.19</v>
      </c>
      <c r="E875" s="4">
        <v>11</v>
      </c>
      <c r="F875" s="8">
        <v>1.26</v>
      </c>
      <c r="G875" s="4">
        <v>13</v>
      </c>
      <c r="H875" s="8">
        <v>1.1599999999999999</v>
      </c>
      <c r="I875" s="4">
        <v>0</v>
      </c>
    </row>
    <row r="876" spans="1:9" x14ac:dyDescent="0.2">
      <c r="A876" s="1"/>
      <c r="C876" s="4"/>
      <c r="D876" s="8"/>
      <c r="E876" s="4"/>
      <c r="F876" s="8"/>
      <c r="G876" s="4"/>
      <c r="H876" s="8"/>
      <c r="I876" s="4"/>
    </row>
    <row r="877" spans="1:9" x14ac:dyDescent="0.2">
      <c r="A877" s="1" t="s">
        <v>39</v>
      </c>
      <c r="C877" s="4"/>
      <c r="D877" s="8"/>
      <c r="E877" s="4"/>
      <c r="F877" s="8"/>
      <c r="G877" s="4"/>
      <c r="H877" s="8"/>
      <c r="I877" s="4"/>
    </row>
    <row r="878" spans="1:9" x14ac:dyDescent="0.2">
      <c r="A878" s="2">
        <v>1</v>
      </c>
      <c r="B878" s="1" t="s">
        <v>161</v>
      </c>
      <c r="C878" s="4">
        <v>119</v>
      </c>
      <c r="D878" s="8">
        <v>6.73</v>
      </c>
      <c r="E878" s="4">
        <v>85</v>
      </c>
      <c r="F878" s="8">
        <v>10.65</v>
      </c>
      <c r="G878" s="4">
        <v>34</v>
      </c>
      <c r="H878" s="8">
        <v>3.53</v>
      </c>
      <c r="I878" s="4">
        <v>0</v>
      </c>
    </row>
    <row r="879" spans="1:9" x14ac:dyDescent="0.2">
      <c r="A879" s="2">
        <v>2</v>
      </c>
      <c r="B879" s="1" t="s">
        <v>168</v>
      </c>
      <c r="C879" s="4">
        <v>84</v>
      </c>
      <c r="D879" s="8">
        <v>4.75</v>
      </c>
      <c r="E879" s="4">
        <v>64</v>
      </c>
      <c r="F879" s="8">
        <v>8.02</v>
      </c>
      <c r="G879" s="4">
        <v>20</v>
      </c>
      <c r="H879" s="8">
        <v>2.08</v>
      </c>
      <c r="I879" s="4">
        <v>0</v>
      </c>
    </row>
    <row r="880" spans="1:9" x14ac:dyDescent="0.2">
      <c r="A880" s="2">
        <v>3</v>
      </c>
      <c r="B880" s="1" t="s">
        <v>170</v>
      </c>
      <c r="C880" s="4">
        <v>59</v>
      </c>
      <c r="D880" s="8">
        <v>3.34</v>
      </c>
      <c r="E880" s="4">
        <v>52</v>
      </c>
      <c r="F880" s="8">
        <v>6.52</v>
      </c>
      <c r="G880" s="4">
        <v>6</v>
      </c>
      <c r="H880" s="8">
        <v>0.62</v>
      </c>
      <c r="I880" s="4">
        <v>1</v>
      </c>
    </row>
    <row r="881" spans="1:9" x14ac:dyDescent="0.2">
      <c r="A881" s="2">
        <v>4</v>
      </c>
      <c r="B881" s="1" t="s">
        <v>167</v>
      </c>
      <c r="C881" s="4">
        <v>52</v>
      </c>
      <c r="D881" s="8">
        <v>2.94</v>
      </c>
      <c r="E881" s="4">
        <v>50</v>
      </c>
      <c r="F881" s="8">
        <v>6.27</v>
      </c>
      <c r="G881" s="4">
        <v>2</v>
      </c>
      <c r="H881" s="8">
        <v>0.21</v>
      </c>
      <c r="I881" s="4">
        <v>0</v>
      </c>
    </row>
    <row r="882" spans="1:9" x14ac:dyDescent="0.2">
      <c r="A882" s="2">
        <v>5</v>
      </c>
      <c r="B882" s="1" t="s">
        <v>171</v>
      </c>
      <c r="C882" s="4">
        <v>42</v>
      </c>
      <c r="D882" s="8">
        <v>2.37</v>
      </c>
      <c r="E882" s="4">
        <v>37</v>
      </c>
      <c r="F882" s="8">
        <v>4.6399999999999997</v>
      </c>
      <c r="G882" s="4">
        <v>5</v>
      </c>
      <c r="H882" s="8">
        <v>0.52</v>
      </c>
      <c r="I882" s="4">
        <v>0</v>
      </c>
    </row>
    <row r="883" spans="1:9" x14ac:dyDescent="0.2">
      <c r="A883" s="2">
        <v>6</v>
      </c>
      <c r="B883" s="1" t="s">
        <v>153</v>
      </c>
      <c r="C883" s="4">
        <v>41</v>
      </c>
      <c r="D883" s="8">
        <v>2.3199999999999998</v>
      </c>
      <c r="E883" s="4">
        <v>2</v>
      </c>
      <c r="F883" s="8">
        <v>0.25</v>
      </c>
      <c r="G883" s="4">
        <v>39</v>
      </c>
      <c r="H883" s="8">
        <v>4.05</v>
      </c>
      <c r="I883" s="4">
        <v>0</v>
      </c>
    </row>
    <row r="884" spans="1:9" x14ac:dyDescent="0.2">
      <c r="A884" s="2">
        <v>6</v>
      </c>
      <c r="B884" s="1" t="s">
        <v>156</v>
      </c>
      <c r="C884" s="4">
        <v>41</v>
      </c>
      <c r="D884" s="8">
        <v>2.3199999999999998</v>
      </c>
      <c r="E884" s="4">
        <v>21</v>
      </c>
      <c r="F884" s="8">
        <v>2.63</v>
      </c>
      <c r="G884" s="4">
        <v>20</v>
      </c>
      <c r="H884" s="8">
        <v>2.08</v>
      </c>
      <c r="I884" s="4">
        <v>0</v>
      </c>
    </row>
    <row r="885" spans="1:9" x14ac:dyDescent="0.2">
      <c r="A885" s="2">
        <v>8</v>
      </c>
      <c r="B885" s="1" t="s">
        <v>164</v>
      </c>
      <c r="C885" s="4">
        <v>38</v>
      </c>
      <c r="D885" s="8">
        <v>2.15</v>
      </c>
      <c r="E885" s="4">
        <v>36</v>
      </c>
      <c r="F885" s="8">
        <v>4.51</v>
      </c>
      <c r="G885" s="4">
        <v>2</v>
      </c>
      <c r="H885" s="8">
        <v>0.21</v>
      </c>
      <c r="I885" s="4">
        <v>0</v>
      </c>
    </row>
    <row r="886" spans="1:9" x14ac:dyDescent="0.2">
      <c r="A886" s="2">
        <v>9</v>
      </c>
      <c r="B886" s="1" t="s">
        <v>205</v>
      </c>
      <c r="C886" s="4">
        <v>31</v>
      </c>
      <c r="D886" s="8">
        <v>1.75</v>
      </c>
      <c r="E886" s="4">
        <v>15</v>
      </c>
      <c r="F886" s="8">
        <v>1.88</v>
      </c>
      <c r="G886" s="4">
        <v>16</v>
      </c>
      <c r="H886" s="8">
        <v>1.66</v>
      </c>
      <c r="I886" s="4">
        <v>0</v>
      </c>
    </row>
    <row r="887" spans="1:9" x14ac:dyDescent="0.2">
      <c r="A887" s="2">
        <v>10</v>
      </c>
      <c r="B887" s="1" t="s">
        <v>201</v>
      </c>
      <c r="C887" s="4">
        <v>30</v>
      </c>
      <c r="D887" s="8">
        <v>1.7</v>
      </c>
      <c r="E887" s="4">
        <v>3</v>
      </c>
      <c r="F887" s="8">
        <v>0.38</v>
      </c>
      <c r="G887" s="4">
        <v>27</v>
      </c>
      <c r="H887" s="8">
        <v>2.8</v>
      </c>
      <c r="I887" s="4">
        <v>0</v>
      </c>
    </row>
    <row r="888" spans="1:9" x14ac:dyDescent="0.2">
      <c r="A888" s="2">
        <v>11</v>
      </c>
      <c r="B888" s="1" t="s">
        <v>163</v>
      </c>
      <c r="C888" s="4">
        <v>29</v>
      </c>
      <c r="D888" s="8">
        <v>1.64</v>
      </c>
      <c r="E888" s="4">
        <v>20</v>
      </c>
      <c r="F888" s="8">
        <v>2.5099999999999998</v>
      </c>
      <c r="G888" s="4">
        <v>9</v>
      </c>
      <c r="H888" s="8">
        <v>0.93</v>
      </c>
      <c r="I888" s="4">
        <v>0</v>
      </c>
    </row>
    <row r="889" spans="1:9" x14ac:dyDescent="0.2">
      <c r="A889" s="2">
        <v>12</v>
      </c>
      <c r="B889" s="1" t="s">
        <v>155</v>
      </c>
      <c r="C889" s="4">
        <v>28</v>
      </c>
      <c r="D889" s="8">
        <v>1.58</v>
      </c>
      <c r="E889" s="4">
        <v>7</v>
      </c>
      <c r="F889" s="8">
        <v>0.88</v>
      </c>
      <c r="G889" s="4">
        <v>21</v>
      </c>
      <c r="H889" s="8">
        <v>2.1800000000000002</v>
      </c>
      <c r="I889" s="4">
        <v>0</v>
      </c>
    </row>
    <row r="890" spans="1:9" x14ac:dyDescent="0.2">
      <c r="A890" s="2">
        <v>13</v>
      </c>
      <c r="B890" s="1" t="s">
        <v>196</v>
      </c>
      <c r="C890" s="4">
        <v>27</v>
      </c>
      <c r="D890" s="8">
        <v>1.53</v>
      </c>
      <c r="E890" s="4">
        <v>8</v>
      </c>
      <c r="F890" s="8">
        <v>1</v>
      </c>
      <c r="G890" s="4">
        <v>19</v>
      </c>
      <c r="H890" s="8">
        <v>1.97</v>
      </c>
      <c r="I890" s="4">
        <v>0</v>
      </c>
    </row>
    <row r="891" spans="1:9" x14ac:dyDescent="0.2">
      <c r="A891" s="2">
        <v>14</v>
      </c>
      <c r="B891" s="1" t="s">
        <v>152</v>
      </c>
      <c r="C891" s="4">
        <v>25</v>
      </c>
      <c r="D891" s="8">
        <v>1.41</v>
      </c>
      <c r="E891" s="4">
        <v>3</v>
      </c>
      <c r="F891" s="8">
        <v>0.38</v>
      </c>
      <c r="G891" s="4">
        <v>22</v>
      </c>
      <c r="H891" s="8">
        <v>2.2799999999999998</v>
      </c>
      <c r="I891" s="4">
        <v>0</v>
      </c>
    </row>
    <row r="892" spans="1:9" x14ac:dyDescent="0.2">
      <c r="A892" s="2">
        <v>14</v>
      </c>
      <c r="B892" s="1" t="s">
        <v>154</v>
      </c>
      <c r="C892" s="4">
        <v>25</v>
      </c>
      <c r="D892" s="8">
        <v>1.41</v>
      </c>
      <c r="E892" s="4">
        <v>7</v>
      </c>
      <c r="F892" s="8">
        <v>0.88</v>
      </c>
      <c r="G892" s="4">
        <v>18</v>
      </c>
      <c r="H892" s="8">
        <v>1.87</v>
      </c>
      <c r="I892" s="4">
        <v>0</v>
      </c>
    </row>
    <row r="893" spans="1:9" x14ac:dyDescent="0.2">
      <c r="A893" s="2">
        <v>14</v>
      </c>
      <c r="B893" s="1" t="s">
        <v>197</v>
      </c>
      <c r="C893" s="4">
        <v>25</v>
      </c>
      <c r="D893" s="8">
        <v>1.41</v>
      </c>
      <c r="E893" s="4">
        <v>4</v>
      </c>
      <c r="F893" s="8">
        <v>0.5</v>
      </c>
      <c r="G893" s="4">
        <v>21</v>
      </c>
      <c r="H893" s="8">
        <v>2.1800000000000002</v>
      </c>
      <c r="I893" s="4">
        <v>0</v>
      </c>
    </row>
    <row r="894" spans="1:9" x14ac:dyDescent="0.2">
      <c r="A894" s="2">
        <v>14</v>
      </c>
      <c r="B894" s="1" t="s">
        <v>176</v>
      </c>
      <c r="C894" s="4">
        <v>25</v>
      </c>
      <c r="D894" s="8">
        <v>1.41</v>
      </c>
      <c r="E894" s="4">
        <v>25</v>
      </c>
      <c r="F894" s="8">
        <v>3.13</v>
      </c>
      <c r="G894" s="4">
        <v>0</v>
      </c>
      <c r="H894" s="8">
        <v>0</v>
      </c>
      <c r="I894" s="4">
        <v>0</v>
      </c>
    </row>
    <row r="895" spans="1:9" x14ac:dyDescent="0.2">
      <c r="A895" s="2">
        <v>14</v>
      </c>
      <c r="B895" s="1" t="s">
        <v>169</v>
      </c>
      <c r="C895" s="4">
        <v>25</v>
      </c>
      <c r="D895" s="8">
        <v>1.41</v>
      </c>
      <c r="E895" s="4">
        <v>14</v>
      </c>
      <c r="F895" s="8">
        <v>1.75</v>
      </c>
      <c r="G895" s="4">
        <v>10</v>
      </c>
      <c r="H895" s="8">
        <v>1.04</v>
      </c>
      <c r="I895" s="4">
        <v>1</v>
      </c>
    </row>
    <row r="896" spans="1:9" x14ac:dyDescent="0.2">
      <c r="A896" s="2">
        <v>19</v>
      </c>
      <c r="B896" s="1" t="s">
        <v>157</v>
      </c>
      <c r="C896" s="4">
        <v>24</v>
      </c>
      <c r="D896" s="8">
        <v>1.36</v>
      </c>
      <c r="E896" s="4">
        <v>13</v>
      </c>
      <c r="F896" s="8">
        <v>1.63</v>
      </c>
      <c r="G896" s="4">
        <v>11</v>
      </c>
      <c r="H896" s="8">
        <v>1.1399999999999999</v>
      </c>
      <c r="I896" s="4">
        <v>0</v>
      </c>
    </row>
    <row r="897" spans="1:9" x14ac:dyDescent="0.2">
      <c r="A897" s="2">
        <v>19</v>
      </c>
      <c r="B897" s="1" t="s">
        <v>158</v>
      </c>
      <c r="C897" s="4">
        <v>24</v>
      </c>
      <c r="D897" s="8">
        <v>1.36</v>
      </c>
      <c r="E897" s="4">
        <v>14</v>
      </c>
      <c r="F897" s="8">
        <v>1.75</v>
      </c>
      <c r="G897" s="4">
        <v>10</v>
      </c>
      <c r="H897" s="8">
        <v>1.04</v>
      </c>
      <c r="I897" s="4">
        <v>0</v>
      </c>
    </row>
    <row r="898" spans="1:9" x14ac:dyDescent="0.2">
      <c r="A898" s="2">
        <v>19</v>
      </c>
      <c r="B898" s="1" t="s">
        <v>160</v>
      </c>
      <c r="C898" s="4">
        <v>24</v>
      </c>
      <c r="D898" s="8">
        <v>1.36</v>
      </c>
      <c r="E898" s="4">
        <v>6</v>
      </c>
      <c r="F898" s="8">
        <v>0.75</v>
      </c>
      <c r="G898" s="4">
        <v>18</v>
      </c>
      <c r="H898" s="8">
        <v>1.87</v>
      </c>
      <c r="I898" s="4">
        <v>0</v>
      </c>
    </row>
    <row r="899" spans="1:9" x14ac:dyDescent="0.2">
      <c r="A899" s="1"/>
      <c r="C899" s="4"/>
      <c r="D899" s="8"/>
      <c r="E899" s="4"/>
      <c r="F899" s="8"/>
      <c r="G899" s="4"/>
      <c r="H899" s="8"/>
      <c r="I899" s="4"/>
    </row>
    <row r="900" spans="1:9" x14ac:dyDescent="0.2">
      <c r="A900" s="1" t="s">
        <v>40</v>
      </c>
      <c r="C900" s="4"/>
      <c r="D900" s="8"/>
      <c r="E900" s="4"/>
      <c r="F900" s="8"/>
      <c r="G900" s="4"/>
      <c r="H900" s="8"/>
      <c r="I900" s="4"/>
    </row>
    <row r="901" spans="1:9" x14ac:dyDescent="0.2">
      <c r="A901" s="2">
        <v>1</v>
      </c>
      <c r="B901" s="1" t="s">
        <v>161</v>
      </c>
      <c r="C901" s="4">
        <v>72</v>
      </c>
      <c r="D901" s="8">
        <v>5.71</v>
      </c>
      <c r="E901" s="4">
        <v>49</v>
      </c>
      <c r="F901" s="8">
        <v>7.27</v>
      </c>
      <c r="G901" s="4">
        <v>23</v>
      </c>
      <c r="H901" s="8">
        <v>4.0599999999999996</v>
      </c>
      <c r="I901" s="4">
        <v>0</v>
      </c>
    </row>
    <row r="902" spans="1:9" x14ac:dyDescent="0.2">
      <c r="A902" s="2">
        <v>2</v>
      </c>
      <c r="B902" s="1" t="s">
        <v>168</v>
      </c>
      <c r="C902" s="4">
        <v>71</v>
      </c>
      <c r="D902" s="8">
        <v>5.63</v>
      </c>
      <c r="E902" s="4">
        <v>64</v>
      </c>
      <c r="F902" s="8">
        <v>9.5</v>
      </c>
      <c r="G902" s="4">
        <v>7</v>
      </c>
      <c r="H902" s="8">
        <v>1.23</v>
      </c>
      <c r="I902" s="4">
        <v>0</v>
      </c>
    </row>
    <row r="903" spans="1:9" x14ac:dyDescent="0.2">
      <c r="A903" s="2">
        <v>3</v>
      </c>
      <c r="B903" s="1" t="s">
        <v>170</v>
      </c>
      <c r="C903" s="4">
        <v>44</v>
      </c>
      <c r="D903" s="8">
        <v>3.49</v>
      </c>
      <c r="E903" s="4">
        <v>40</v>
      </c>
      <c r="F903" s="8">
        <v>5.93</v>
      </c>
      <c r="G903" s="4">
        <v>4</v>
      </c>
      <c r="H903" s="8">
        <v>0.71</v>
      </c>
      <c r="I903" s="4">
        <v>0</v>
      </c>
    </row>
    <row r="904" spans="1:9" x14ac:dyDescent="0.2">
      <c r="A904" s="2">
        <v>4</v>
      </c>
      <c r="B904" s="1" t="s">
        <v>171</v>
      </c>
      <c r="C904" s="4">
        <v>42</v>
      </c>
      <c r="D904" s="8">
        <v>3.33</v>
      </c>
      <c r="E904" s="4">
        <v>35</v>
      </c>
      <c r="F904" s="8">
        <v>5.19</v>
      </c>
      <c r="G904" s="4">
        <v>7</v>
      </c>
      <c r="H904" s="8">
        <v>1.23</v>
      </c>
      <c r="I904" s="4">
        <v>0</v>
      </c>
    </row>
    <row r="905" spans="1:9" x14ac:dyDescent="0.2">
      <c r="A905" s="2">
        <v>5</v>
      </c>
      <c r="B905" s="1" t="s">
        <v>167</v>
      </c>
      <c r="C905" s="4">
        <v>38</v>
      </c>
      <c r="D905" s="8">
        <v>3.01</v>
      </c>
      <c r="E905" s="4">
        <v>33</v>
      </c>
      <c r="F905" s="8">
        <v>4.9000000000000004</v>
      </c>
      <c r="G905" s="4">
        <v>5</v>
      </c>
      <c r="H905" s="8">
        <v>0.88</v>
      </c>
      <c r="I905" s="4">
        <v>0</v>
      </c>
    </row>
    <row r="906" spans="1:9" x14ac:dyDescent="0.2">
      <c r="A906" s="2">
        <v>6</v>
      </c>
      <c r="B906" s="1" t="s">
        <v>155</v>
      </c>
      <c r="C906" s="4">
        <v>35</v>
      </c>
      <c r="D906" s="8">
        <v>2.78</v>
      </c>
      <c r="E906" s="4">
        <v>8</v>
      </c>
      <c r="F906" s="8">
        <v>1.19</v>
      </c>
      <c r="G906" s="4">
        <v>27</v>
      </c>
      <c r="H906" s="8">
        <v>4.76</v>
      </c>
      <c r="I906" s="4">
        <v>0</v>
      </c>
    </row>
    <row r="907" spans="1:9" x14ac:dyDescent="0.2">
      <c r="A907" s="2">
        <v>6</v>
      </c>
      <c r="B907" s="1" t="s">
        <v>165</v>
      </c>
      <c r="C907" s="4">
        <v>35</v>
      </c>
      <c r="D907" s="8">
        <v>2.78</v>
      </c>
      <c r="E907" s="4">
        <v>32</v>
      </c>
      <c r="F907" s="8">
        <v>4.75</v>
      </c>
      <c r="G907" s="4">
        <v>3</v>
      </c>
      <c r="H907" s="8">
        <v>0.53</v>
      </c>
      <c r="I907" s="4">
        <v>0</v>
      </c>
    </row>
    <row r="908" spans="1:9" x14ac:dyDescent="0.2">
      <c r="A908" s="2">
        <v>8</v>
      </c>
      <c r="B908" s="1" t="s">
        <v>163</v>
      </c>
      <c r="C908" s="4">
        <v>34</v>
      </c>
      <c r="D908" s="8">
        <v>2.7</v>
      </c>
      <c r="E908" s="4">
        <v>28</v>
      </c>
      <c r="F908" s="8">
        <v>4.1500000000000004</v>
      </c>
      <c r="G908" s="4">
        <v>6</v>
      </c>
      <c r="H908" s="8">
        <v>1.06</v>
      </c>
      <c r="I908" s="4">
        <v>0</v>
      </c>
    </row>
    <row r="909" spans="1:9" x14ac:dyDescent="0.2">
      <c r="A909" s="2">
        <v>9</v>
      </c>
      <c r="B909" s="1" t="s">
        <v>157</v>
      </c>
      <c r="C909" s="4">
        <v>26</v>
      </c>
      <c r="D909" s="8">
        <v>2.06</v>
      </c>
      <c r="E909" s="4">
        <v>9</v>
      </c>
      <c r="F909" s="8">
        <v>1.34</v>
      </c>
      <c r="G909" s="4">
        <v>17</v>
      </c>
      <c r="H909" s="8">
        <v>3</v>
      </c>
      <c r="I909" s="4">
        <v>0</v>
      </c>
    </row>
    <row r="910" spans="1:9" x14ac:dyDescent="0.2">
      <c r="A910" s="2">
        <v>10</v>
      </c>
      <c r="B910" s="1" t="s">
        <v>152</v>
      </c>
      <c r="C910" s="4">
        <v>25</v>
      </c>
      <c r="D910" s="8">
        <v>1.98</v>
      </c>
      <c r="E910" s="4">
        <v>6</v>
      </c>
      <c r="F910" s="8">
        <v>0.89</v>
      </c>
      <c r="G910" s="4">
        <v>19</v>
      </c>
      <c r="H910" s="8">
        <v>3.35</v>
      </c>
      <c r="I910" s="4">
        <v>0</v>
      </c>
    </row>
    <row r="911" spans="1:9" x14ac:dyDescent="0.2">
      <c r="A911" s="2">
        <v>11</v>
      </c>
      <c r="B911" s="1" t="s">
        <v>219</v>
      </c>
      <c r="C911" s="4">
        <v>23</v>
      </c>
      <c r="D911" s="8">
        <v>1.82</v>
      </c>
      <c r="E911" s="4">
        <v>0</v>
      </c>
      <c r="F911" s="8">
        <v>0</v>
      </c>
      <c r="G911" s="4">
        <v>23</v>
      </c>
      <c r="H911" s="8">
        <v>4.0599999999999996</v>
      </c>
      <c r="I911" s="4">
        <v>0</v>
      </c>
    </row>
    <row r="912" spans="1:9" x14ac:dyDescent="0.2">
      <c r="A912" s="2">
        <v>11</v>
      </c>
      <c r="B912" s="1" t="s">
        <v>164</v>
      </c>
      <c r="C912" s="4">
        <v>23</v>
      </c>
      <c r="D912" s="8">
        <v>1.82</v>
      </c>
      <c r="E912" s="4">
        <v>23</v>
      </c>
      <c r="F912" s="8">
        <v>3.41</v>
      </c>
      <c r="G912" s="4">
        <v>0</v>
      </c>
      <c r="H912" s="8">
        <v>0</v>
      </c>
      <c r="I912" s="4">
        <v>0</v>
      </c>
    </row>
    <row r="913" spans="1:9" x14ac:dyDescent="0.2">
      <c r="A913" s="2">
        <v>13</v>
      </c>
      <c r="B913" s="1" t="s">
        <v>176</v>
      </c>
      <c r="C913" s="4">
        <v>22</v>
      </c>
      <c r="D913" s="8">
        <v>1.74</v>
      </c>
      <c r="E913" s="4">
        <v>22</v>
      </c>
      <c r="F913" s="8">
        <v>3.26</v>
      </c>
      <c r="G913" s="4">
        <v>0</v>
      </c>
      <c r="H913" s="8">
        <v>0</v>
      </c>
      <c r="I913" s="4">
        <v>0</v>
      </c>
    </row>
    <row r="914" spans="1:9" x14ac:dyDescent="0.2">
      <c r="A914" s="2">
        <v>14</v>
      </c>
      <c r="B914" s="1" t="s">
        <v>166</v>
      </c>
      <c r="C914" s="4">
        <v>21</v>
      </c>
      <c r="D914" s="8">
        <v>1.67</v>
      </c>
      <c r="E914" s="4">
        <v>13</v>
      </c>
      <c r="F914" s="8">
        <v>1.93</v>
      </c>
      <c r="G914" s="4">
        <v>8</v>
      </c>
      <c r="H914" s="8">
        <v>1.41</v>
      </c>
      <c r="I914" s="4">
        <v>0</v>
      </c>
    </row>
    <row r="915" spans="1:9" x14ac:dyDescent="0.2">
      <c r="A915" s="2">
        <v>15</v>
      </c>
      <c r="B915" s="1" t="s">
        <v>154</v>
      </c>
      <c r="C915" s="4">
        <v>18</v>
      </c>
      <c r="D915" s="8">
        <v>1.43</v>
      </c>
      <c r="E915" s="4">
        <v>8</v>
      </c>
      <c r="F915" s="8">
        <v>1.19</v>
      </c>
      <c r="G915" s="4">
        <v>10</v>
      </c>
      <c r="H915" s="8">
        <v>1.76</v>
      </c>
      <c r="I915" s="4">
        <v>0</v>
      </c>
    </row>
    <row r="916" spans="1:9" x14ac:dyDescent="0.2">
      <c r="A916" s="2">
        <v>15</v>
      </c>
      <c r="B916" s="1" t="s">
        <v>198</v>
      </c>
      <c r="C916" s="4">
        <v>18</v>
      </c>
      <c r="D916" s="8">
        <v>1.43</v>
      </c>
      <c r="E916" s="4">
        <v>13</v>
      </c>
      <c r="F916" s="8">
        <v>1.93</v>
      </c>
      <c r="G916" s="4">
        <v>5</v>
      </c>
      <c r="H916" s="8">
        <v>0.88</v>
      </c>
      <c r="I916" s="4">
        <v>0</v>
      </c>
    </row>
    <row r="917" spans="1:9" x14ac:dyDescent="0.2">
      <c r="A917" s="2">
        <v>17</v>
      </c>
      <c r="B917" s="1" t="s">
        <v>156</v>
      </c>
      <c r="C917" s="4">
        <v>17</v>
      </c>
      <c r="D917" s="8">
        <v>1.35</v>
      </c>
      <c r="E917" s="4">
        <v>12</v>
      </c>
      <c r="F917" s="8">
        <v>1.78</v>
      </c>
      <c r="G917" s="4">
        <v>5</v>
      </c>
      <c r="H917" s="8">
        <v>0.88</v>
      </c>
      <c r="I917" s="4">
        <v>0</v>
      </c>
    </row>
    <row r="918" spans="1:9" x14ac:dyDescent="0.2">
      <c r="A918" s="2">
        <v>18</v>
      </c>
      <c r="B918" s="1" t="s">
        <v>153</v>
      </c>
      <c r="C918" s="4">
        <v>16</v>
      </c>
      <c r="D918" s="8">
        <v>1.27</v>
      </c>
      <c r="E918" s="4">
        <v>1</v>
      </c>
      <c r="F918" s="8">
        <v>0.15</v>
      </c>
      <c r="G918" s="4">
        <v>15</v>
      </c>
      <c r="H918" s="8">
        <v>2.65</v>
      </c>
      <c r="I918" s="4">
        <v>0</v>
      </c>
    </row>
    <row r="919" spans="1:9" x14ac:dyDescent="0.2">
      <c r="A919" s="2">
        <v>18</v>
      </c>
      <c r="B919" s="1" t="s">
        <v>199</v>
      </c>
      <c r="C919" s="4">
        <v>16</v>
      </c>
      <c r="D919" s="8">
        <v>1.27</v>
      </c>
      <c r="E919" s="4">
        <v>2</v>
      </c>
      <c r="F919" s="8">
        <v>0.3</v>
      </c>
      <c r="G919" s="4">
        <v>14</v>
      </c>
      <c r="H919" s="8">
        <v>2.4700000000000002</v>
      </c>
      <c r="I919" s="4">
        <v>0</v>
      </c>
    </row>
    <row r="920" spans="1:9" x14ac:dyDescent="0.2">
      <c r="A920" s="2">
        <v>18</v>
      </c>
      <c r="B920" s="1" t="s">
        <v>204</v>
      </c>
      <c r="C920" s="4">
        <v>16</v>
      </c>
      <c r="D920" s="8">
        <v>1.27</v>
      </c>
      <c r="E920" s="4">
        <v>3</v>
      </c>
      <c r="F920" s="8">
        <v>0.45</v>
      </c>
      <c r="G920" s="4">
        <v>13</v>
      </c>
      <c r="H920" s="8">
        <v>2.29</v>
      </c>
      <c r="I920" s="4">
        <v>0</v>
      </c>
    </row>
    <row r="921" spans="1:9" x14ac:dyDescent="0.2">
      <c r="A921" s="2">
        <v>18</v>
      </c>
      <c r="B921" s="1" t="s">
        <v>192</v>
      </c>
      <c r="C921" s="4">
        <v>16</v>
      </c>
      <c r="D921" s="8">
        <v>1.27</v>
      </c>
      <c r="E921" s="4">
        <v>5</v>
      </c>
      <c r="F921" s="8">
        <v>0.74</v>
      </c>
      <c r="G921" s="4">
        <v>2</v>
      </c>
      <c r="H921" s="8">
        <v>0.35</v>
      </c>
      <c r="I921" s="4">
        <v>0</v>
      </c>
    </row>
    <row r="922" spans="1:9" x14ac:dyDescent="0.2">
      <c r="A922" s="1"/>
      <c r="C922" s="4"/>
      <c r="D922" s="8"/>
      <c r="E922" s="4"/>
      <c r="F922" s="8"/>
      <c r="G922" s="4"/>
      <c r="H922" s="8"/>
      <c r="I922" s="4"/>
    </row>
    <row r="923" spans="1:9" x14ac:dyDescent="0.2">
      <c r="A923" s="1" t="s">
        <v>41</v>
      </c>
      <c r="C923" s="4"/>
      <c r="D923" s="8"/>
      <c r="E923" s="4"/>
      <c r="F923" s="8"/>
      <c r="G923" s="4"/>
      <c r="H923" s="8"/>
      <c r="I923" s="4"/>
    </row>
    <row r="924" spans="1:9" x14ac:dyDescent="0.2">
      <c r="A924" s="2">
        <v>1</v>
      </c>
      <c r="B924" s="1" t="s">
        <v>168</v>
      </c>
      <c r="C924" s="4">
        <v>45</v>
      </c>
      <c r="D924" s="8">
        <v>4.6500000000000004</v>
      </c>
      <c r="E924" s="4">
        <v>35</v>
      </c>
      <c r="F924" s="8">
        <v>8.01</v>
      </c>
      <c r="G924" s="4">
        <v>10</v>
      </c>
      <c r="H924" s="8">
        <v>1.91</v>
      </c>
      <c r="I924" s="4">
        <v>0</v>
      </c>
    </row>
    <row r="925" spans="1:9" x14ac:dyDescent="0.2">
      <c r="A925" s="2">
        <v>2</v>
      </c>
      <c r="B925" s="1" t="s">
        <v>161</v>
      </c>
      <c r="C925" s="4">
        <v>43</v>
      </c>
      <c r="D925" s="8">
        <v>4.4400000000000004</v>
      </c>
      <c r="E925" s="4">
        <v>13</v>
      </c>
      <c r="F925" s="8">
        <v>2.97</v>
      </c>
      <c r="G925" s="4">
        <v>30</v>
      </c>
      <c r="H925" s="8">
        <v>5.74</v>
      </c>
      <c r="I925" s="4">
        <v>0</v>
      </c>
    </row>
    <row r="926" spans="1:9" x14ac:dyDescent="0.2">
      <c r="A926" s="2">
        <v>3</v>
      </c>
      <c r="B926" s="1" t="s">
        <v>167</v>
      </c>
      <c r="C926" s="4">
        <v>37</v>
      </c>
      <c r="D926" s="8">
        <v>3.82</v>
      </c>
      <c r="E926" s="4">
        <v>36</v>
      </c>
      <c r="F926" s="8">
        <v>8.24</v>
      </c>
      <c r="G926" s="4">
        <v>1</v>
      </c>
      <c r="H926" s="8">
        <v>0.19</v>
      </c>
      <c r="I926" s="4">
        <v>0</v>
      </c>
    </row>
    <row r="927" spans="1:9" x14ac:dyDescent="0.2">
      <c r="A927" s="2">
        <v>4</v>
      </c>
      <c r="B927" s="1" t="s">
        <v>170</v>
      </c>
      <c r="C927" s="4">
        <v>31</v>
      </c>
      <c r="D927" s="8">
        <v>3.2</v>
      </c>
      <c r="E927" s="4">
        <v>21</v>
      </c>
      <c r="F927" s="8">
        <v>4.8099999999999996</v>
      </c>
      <c r="G927" s="4">
        <v>10</v>
      </c>
      <c r="H927" s="8">
        <v>1.91</v>
      </c>
      <c r="I927" s="4">
        <v>0</v>
      </c>
    </row>
    <row r="928" spans="1:9" x14ac:dyDescent="0.2">
      <c r="A928" s="2">
        <v>5</v>
      </c>
      <c r="B928" s="1" t="s">
        <v>158</v>
      </c>
      <c r="C928" s="4">
        <v>26</v>
      </c>
      <c r="D928" s="8">
        <v>2.69</v>
      </c>
      <c r="E928" s="4">
        <v>15</v>
      </c>
      <c r="F928" s="8">
        <v>3.43</v>
      </c>
      <c r="G928" s="4">
        <v>11</v>
      </c>
      <c r="H928" s="8">
        <v>2.1</v>
      </c>
      <c r="I928" s="4">
        <v>0</v>
      </c>
    </row>
    <row r="929" spans="1:9" x14ac:dyDescent="0.2">
      <c r="A929" s="2">
        <v>6</v>
      </c>
      <c r="B929" s="1" t="s">
        <v>164</v>
      </c>
      <c r="C929" s="4">
        <v>23</v>
      </c>
      <c r="D929" s="8">
        <v>2.38</v>
      </c>
      <c r="E929" s="4">
        <v>21</v>
      </c>
      <c r="F929" s="8">
        <v>4.8099999999999996</v>
      </c>
      <c r="G929" s="4">
        <v>2</v>
      </c>
      <c r="H929" s="8">
        <v>0.38</v>
      </c>
      <c r="I929" s="4">
        <v>0</v>
      </c>
    </row>
    <row r="930" spans="1:9" x14ac:dyDescent="0.2">
      <c r="A930" s="2">
        <v>7</v>
      </c>
      <c r="B930" s="1" t="s">
        <v>191</v>
      </c>
      <c r="C930" s="4">
        <v>22</v>
      </c>
      <c r="D930" s="8">
        <v>2.27</v>
      </c>
      <c r="E930" s="4">
        <v>10</v>
      </c>
      <c r="F930" s="8">
        <v>2.29</v>
      </c>
      <c r="G930" s="4">
        <v>12</v>
      </c>
      <c r="H930" s="8">
        <v>2.29</v>
      </c>
      <c r="I930" s="4">
        <v>0</v>
      </c>
    </row>
    <row r="931" spans="1:9" x14ac:dyDescent="0.2">
      <c r="A931" s="2">
        <v>8</v>
      </c>
      <c r="B931" s="1" t="s">
        <v>165</v>
      </c>
      <c r="C931" s="4">
        <v>20</v>
      </c>
      <c r="D931" s="8">
        <v>2.0699999999999998</v>
      </c>
      <c r="E931" s="4">
        <v>17</v>
      </c>
      <c r="F931" s="8">
        <v>3.89</v>
      </c>
      <c r="G931" s="4">
        <v>3</v>
      </c>
      <c r="H931" s="8">
        <v>0.56999999999999995</v>
      </c>
      <c r="I931" s="4">
        <v>0</v>
      </c>
    </row>
    <row r="932" spans="1:9" x14ac:dyDescent="0.2">
      <c r="A932" s="2">
        <v>8</v>
      </c>
      <c r="B932" s="1" t="s">
        <v>171</v>
      </c>
      <c r="C932" s="4">
        <v>20</v>
      </c>
      <c r="D932" s="8">
        <v>2.0699999999999998</v>
      </c>
      <c r="E932" s="4">
        <v>19</v>
      </c>
      <c r="F932" s="8">
        <v>4.3499999999999996</v>
      </c>
      <c r="G932" s="4">
        <v>1</v>
      </c>
      <c r="H932" s="8">
        <v>0.19</v>
      </c>
      <c r="I932" s="4">
        <v>0</v>
      </c>
    </row>
    <row r="933" spans="1:9" x14ac:dyDescent="0.2">
      <c r="A933" s="2">
        <v>10</v>
      </c>
      <c r="B933" s="1" t="s">
        <v>156</v>
      </c>
      <c r="C933" s="4">
        <v>19</v>
      </c>
      <c r="D933" s="8">
        <v>1.96</v>
      </c>
      <c r="E933" s="4">
        <v>9</v>
      </c>
      <c r="F933" s="8">
        <v>2.06</v>
      </c>
      <c r="G933" s="4">
        <v>10</v>
      </c>
      <c r="H933" s="8">
        <v>1.91</v>
      </c>
      <c r="I933" s="4">
        <v>0</v>
      </c>
    </row>
    <row r="934" spans="1:9" x14ac:dyDescent="0.2">
      <c r="A934" s="2">
        <v>10</v>
      </c>
      <c r="B934" s="1" t="s">
        <v>160</v>
      </c>
      <c r="C934" s="4">
        <v>19</v>
      </c>
      <c r="D934" s="8">
        <v>1.96</v>
      </c>
      <c r="E934" s="4">
        <v>2</v>
      </c>
      <c r="F934" s="8">
        <v>0.46</v>
      </c>
      <c r="G934" s="4">
        <v>17</v>
      </c>
      <c r="H934" s="8">
        <v>3.25</v>
      </c>
      <c r="I934" s="4">
        <v>0</v>
      </c>
    </row>
    <row r="935" spans="1:9" x14ac:dyDescent="0.2">
      <c r="A935" s="2">
        <v>12</v>
      </c>
      <c r="B935" s="1" t="s">
        <v>157</v>
      </c>
      <c r="C935" s="4">
        <v>18</v>
      </c>
      <c r="D935" s="8">
        <v>1.86</v>
      </c>
      <c r="E935" s="4">
        <v>10</v>
      </c>
      <c r="F935" s="8">
        <v>2.29</v>
      </c>
      <c r="G935" s="4">
        <v>8</v>
      </c>
      <c r="H935" s="8">
        <v>1.53</v>
      </c>
      <c r="I935" s="4">
        <v>0</v>
      </c>
    </row>
    <row r="936" spans="1:9" x14ac:dyDescent="0.2">
      <c r="A936" s="2">
        <v>13</v>
      </c>
      <c r="B936" s="1" t="s">
        <v>163</v>
      </c>
      <c r="C936" s="4">
        <v>17</v>
      </c>
      <c r="D936" s="8">
        <v>1.76</v>
      </c>
      <c r="E936" s="4">
        <v>10</v>
      </c>
      <c r="F936" s="8">
        <v>2.29</v>
      </c>
      <c r="G936" s="4">
        <v>7</v>
      </c>
      <c r="H936" s="8">
        <v>1.34</v>
      </c>
      <c r="I936" s="4">
        <v>0</v>
      </c>
    </row>
    <row r="937" spans="1:9" x14ac:dyDescent="0.2">
      <c r="A937" s="2">
        <v>14</v>
      </c>
      <c r="B937" s="1" t="s">
        <v>176</v>
      </c>
      <c r="C937" s="4">
        <v>16</v>
      </c>
      <c r="D937" s="8">
        <v>1.65</v>
      </c>
      <c r="E937" s="4">
        <v>13</v>
      </c>
      <c r="F937" s="8">
        <v>2.97</v>
      </c>
      <c r="G937" s="4">
        <v>3</v>
      </c>
      <c r="H937" s="8">
        <v>0.56999999999999995</v>
      </c>
      <c r="I937" s="4">
        <v>0</v>
      </c>
    </row>
    <row r="938" spans="1:9" x14ac:dyDescent="0.2">
      <c r="A938" s="2">
        <v>15</v>
      </c>
      <c r="B938" s="1" t="s">
        <v>153</v>
      </c>
      <c r="C938" s="4">
        <v>15</v>
      </c>
      <c r="D938" s="8">
        <v>1.55</v>
      </c>
      <c r="E938" s="4">
        <v>0</v>
      </c>
      <c r="F938" s="8">
        <v>0</v>
      </c>
      <c r="G938" s="4">
        <v>15</v>
      </c>
      <c r="H938" s="8">
        <v>2.87</v>
      </c>
      <c r="I938" s="4">
        <v>0</v>
      </c>
    </row>
    <row r="939" spans="1:9" x14ac:dyDescent="0.2">
      <c r="A939" s="2">
        <v>16</v>
      </c>
      <c r="B939" s="1" t="s">
        <v>203</v>
      </c>
      <c r="C939" s="4">
        <v>14</v>
      </c>
      <c r="D939" s="8">
        <v>1.45</v>
      </c>
      <c r="E939" s="4">
        <v>1</v>
      </c>
      <c r="F939" s="8">
        <v>0.23</v>
      </c>
      <c r="G939" s="4">
        <v>13</v>
      </c>
      <c r="H939" s="8">
        <v>2.4900000000000002</v>
      </c>
      <c r="I939" s="4">
        <v>0</v>
      </c>
    </row>
    <row r="940" spans="1:9" x14ac:dyDescent="0.2">
      <c r="A940" s="2">
        <v>16</v>
      </c>
      <c r="B940" s="1" t="s">
        <v>202</v>
      </c>
      <c r="C940" s="4">
        <v>14</v>
      </c>
      <c r="D940" s="8">
        <v>1.45</v>
      </c>
      <c r="E940" s="4">
        <v>3</v>
      </c>
      <c r="F940" s="8">
        <v>0.69</v>
      </c>
      <c r="G940" s="4">
        <v>11</v>
      </c>
      <c r="H940" s="8">
        <v>2.1</v>
      </c>
      <c r="I940" s="4">
        <v>0</v>
      </c>
    </row>
    <row r="941" spans="1:9" x14ac:dyDescent="0.2">
      <c r="A941" s="2">
        <v>18</v>
      </c>
      <c r="B941" s="1" t="s">
        <v>186</v>
      </c>
      <c r="C941" s="4">
        <v>13</v>
      </c>
      <c r="D941" s="8">
        <v>1.34</v>
      </c>
      <c r="E941" s="4">
        <v>6</v>
      </c>
      <c r="F941" s="8">
        <v>1.37</v>
      </c>
      <c r="G941" s="4">
        <v>7</v>
      </c>
      <c r="H941" s="8">
        <v>1.34</v>
      </c>
      <c r="I941" s="4">
        <v>0</v>
      </c>
    </row>
    <row r="942" spans="1:9" x14ac:dyDescent="0.2">
      <c r="A942" s="2">
        <v>19</v>
      </c>
      <c r="B942" s="1" t="s">
        <v>154</v>
      </c>
      <c r="C942" s="4">
        <v>12</v>
      </c>
      <c r="D942" s="8">
        <v>1.24</v>
      </c>
      <c r="E942" s="4">
        <v>2</v>
      </c>
      <c r="F942" s="8">
        <v>0.46</v>
      </c>
      <c r="G942" s="4">
        <v>10</v>
      </c>
      <c r="H942" s="8">
        <v>1.91</v>
      </c>
      <c r="I942" s="4">
        <v>0</v>
      </c>
    </row>
    <row r="943" spans="1:9" x14ac:dyDescent="0.2">
      <c r="A943" s="2">
        <v>20</v>
      </c>
      <c r="B943" s="1" t="s">
        <v>152</v>
      </c>
      <c r="C943" s="4">
        <v>11</v>
      </c>
      <c r="D943" s="8">
        <v>1.1399999999999999</v>
      </c>
      <c r="E943" s="4">
        <v>1</v>
      </c>
      <c r="F943" s="8">
        <v>0.23</v>
      </c>
      <c r="G943" s="4">
        <v>10</v>
      </c>
      <c r="H943" s="8">
        <v>1.91</v>
      </c>
      <c r="I943" s="4">
        <v>0</v>
      </c>
    </row>
    <row r="944" spans="1:9" x14ac:dyDescent="0.2">
      <c r="A944" s="2">
        <v>20</v>
      </c>
      <c r="B944" s="1" t="s">
        <v>155</v>
      </c>
      <c r="C944" s="4">
        <v>11</v>
      </c>
      <c r="D944" s="8">
        <v>1.1399999999999999</v>
      </c>
      <c r="E944" s="4">
        <v>3</v>
      </c>
      <c r="F944" s="8">
        <v>0.69</v>
      </c>
      <c r="G944" s="4">
        <v>8</v>
      </c>
      <c r="H944" s="8">
        <v>1.53</v>
      </c>
      <c r="I944" s="4">
        <v>0</v>
      </c>
    </row>
    <row r="945" spans="1:9" x14ac:dyDescent="0.2">
      <c r="A945" s="2">
        <v>20</v>
      </c>
      <c r="B945" s="1" t="s">
        <v>197</v>
      </c>
      <c r="C945" s="4">
        <v>11</v>
      </c>
      <c r="D945" s="8">
        <v>1.1399999999999999</v>
      </c>
      <c r="E945" s="4">
        <v>2</v>
      </c>
      <c r="F945" s="8">
        <v>0.46</v>
      </c>
      <c r="G945" s="4">
        <v>9</v>
      </c>
      <c r="H945" s="8">
        <v>1.72</v>
      </c>
      <c r="I945" s="4">
        <v>0</v>
      </c>
    </row>
    <row r="946" spans="1:9" x14ac:dyDescent="0.2">
      <c r="A946" s="2">
        <v>20</v>
      </c>
      <c r="B946" s="1" t="s">
        <v>210</v>
      </c>
      <c r="C946" s="4">
        <v>11</v>
      </c>
      <c r="D946" s="8">
        <v>1.1399999999999999</v>
      </c>
      <c r="E946" s="4">
        <v>8</v>
      </c>
      <c r="F946" s="8">
        <v>1.83</v>
      </c>
      <c r="G946" s="4">
        <v>3</v>
      </c>
      <c r="H946" s="8">
        <v>0.56999999999999995</v>
      </c>
      <c r="I946" s="4">
        <v>0</v>
      </c>
    </row>
    <row r="947" spans="1:9" x14ac:dyDescent="0.2">
      <c r="A947" s="2">
        <v>20</v>
      </c>
      <c r="B947" s="1" t="s">
        <v>220</v>
      </c>
      <c r="C947" s="4">
        <v>11</v>
      </c>
      <c r="D947" s="8">
        <v>1.1399999999999999</v>
      </c>
      <c r="E947" s="4">
        <v>4</v>
      </c>
      <c r="F947" s="8">
        <v>0.92</v>
      </c>
      <c r="G947" s="4">
        <v>7</v>
      </c>
      <c r="H947" s="8">
        <v>1.34</v>
      </c>
      <c r="I947" s="4">
        <v>0</v>
      </c>
    </row>
    <row r="948" spans="1:9" x14ac:dyDescent="0.2">
      <c r="A948" s="2">
        <v>20</v>
      </c>
      <c r="B948" s="1" t="s">
        <v>169</v>
      </c>
      <c r="C948" s="4">
        <v>11</v>
      </c>
      <c r="D948" s="8">
        <v>1.1399999999999999</v>
      </c>
      <c r="E948" s="4">
        <v>8</v>
      </c>
      <c r="F948" s="8">
        <v>1.83</v>
      </c>
      <c r="G948" s="4">
        <v>3</v>
      </c>
      <c r="H948" s="8">
        <v>0.56999999999999995</v>
      </c>
      <c r="I948" s="4">
        <v>0</v>
      </c>
    </row>
    <row r="949" spans="1:9" x14ac:dyDescent="0.2">
      <c r="A949" s="1"/>
      <c r="C949" s="4"/>
      <c r="D949" s="8"/>
      <c r="E949" s="4"/>
      <c r="F949" s="8"/>
      <c r="G949" s="4"/>
      <c r="H949" s="8"/>
      <c r="I949" s="4"/>
    </row>
    <row r="950" spans="1:9" x14ac:dyDescent="0.2">
      <c r="A950" s="1" t="s">
        <v>42</v>
      </c>
      <c r="C950" s="4"/>
      <c r="D950" s="8"/>
      <c r="E950" s="4"/>
      <c r="F950" s="8"/>
      <c r="G950" s="4"/>
      <c r="H950" s="8"/>
      <c r="I950" s="4"/>
    </row>
    <row r="951" spans="1:9" x14ac:dyDescent="0.2">
      <c r="A951" s="2">
        <v>1</v>
      </c>
      <c r="B951" s="1" t="s">
        <v>168</v>
      </c>
      <c r="C951" s="4">
        <v>91</v>
      </c>
      <c r="D951" s="8">
        <v>6.19</v>
      </c>
      <c r="E951" s="4">
        <v>75</v>
      </c>
      <c r="F951" s="8">
        <v>11.9</v>
      </c>
      <c r="G951" s="4">
        <v>16</v>
      </c>
      <c r="H951" s="8">
        <v>1.94</v>
      </c>
      <c r="I951" s="4">
        <v>0</v>
      </c>
    </row>
    <row r="952" spans="1:9" x14ac:dyDescent="0.2">
      <c r="A952" s="2">
        <v>2</v>
      </c>
      <c r="B952" s="1" t="s">
        <v>161</v>
      </c>
      <c r="C952" s="4">
        <v>79</v>
      </c>
      <c r="D952" s="8">
        <v>5.38</v>
      </c>
      <c r="E952" s="4">
        <v>41</v>
      </c>
      <c r="F952" s="8">
        <v>6.51</v>
      </c>
      <c r="G952" s="4">
        <v>38</v>
      </c>
      <c r="H952" s="8">
        <v>4.6100000000000003</v>
      </c>
      <c r="I952" s="4">
        <v>0</v>
      </c>
    </row>
    <row r="953" spans="1:9" x14ac:dyDescent="0.2">
      <c r="A953" s="2">
        <v>3</v>
      </c>
      <c r="B953" s="1" t="s">
        <v>170</v>
      </c>
      <c r="C953" s="4">
        <v>49</v>
      </c>
      <c r="D953" s="8">
        <v>3.34</v>
      </c>
      <c r="E953" s="4">
        <v>40</v>
      </c>
      <c r="F953" s="8">
        <v>6.35</v>
      </c>
      <c r="G953" s="4">
        <v>9</v>
      </c>
      <c r="H953" s="8">
        <v>1.0900000000000001</v>
      </c>
      <c r="I953" s="4">
        <v>0</v>
      </c>
    </row>
    <row r="954" spans="1:9" x14ac:dyDescent="0.2">
      <c r="A954" s="2">
        <v>4</v>
      </c>
      <c r="B954" s="1" t="s">
        <v>171</v>
      </c>
      <c r="C954" s="4">
        <v>44</v>
      </c>
      <c r="D954" s="8">
        <v>3</v>
      </c>
      <c r="E954" s="4">
        <v>42</v>
      </c>
      <c r="F954" s="8">
        <v>6.67</v>
      </c>
      <c r="G954" s="4">
        <v>2</v>
      </c>
      <c r="H954" s="8">
        <v>0.24</v>
      </c>
      <c r="I954" s="4">
        <v>0</v>
      </c>
    </row>
    <row r="955" spans="1:9" x14ac:dyDescent="0.2">
      <c r="A955" s="2">
        <v>5</v>
      </c>
      <c r="B955" s="1" t="s">
        <v>154</v>
      </c>
      <c r="C955" s="4">
        <v>36</v>
      </c>
      <c r="D955" s="8">
        <v>2.4500000000000002</v>
      </c>
      <c r="E955" s="4">
        <v>3</v>
      </c>
      <c r="F955" s="8">
        <v>0.48</v>
      </c>
      <c r="G955" s="4">
        <v>33</v>
      </c>
      <c r="H955" s="8">
        <v>4</v>
      </c>
      <c r="I955" s="4">
        <v>0</v>
      </c>
    </row>
    <row r="956" spans="1:9" x14ac:dyDescent="0.2">
      <c r="A956" s="2">
        <v>5</v>
      </c>
      <c r="B956" s="1" t="s">
        <v>165</v>
      </c>
      <c r="C956" s="4">
        <v>36</v>
      </c>
      <c r="D956" s="8">
        <v>2.4500000000000002</v>
      </c>
      <c r="E956" s="4">
        <v>34</v>
      </c>
      <c r="F956" s="8">
        <v>5.4</v>
      </c>
      <c r="G956" s="4">
        <v>2</v>
      </c>
      <c r="H956" s="8">
        <v>0.24</v>
      </c>
      <c r="I956" s="4">
        <v>0</v>
      </c>
    </row>
    <row r="957" spans="1:9" x14ac:dyDescent="0.2">
      <c r="A957" s="2">
        <v>5</v>
      </c>
      <c r="B957" s="1" t="s">
        <v>167</v>
      </c>
      <c r="C957" s="4">
        <v>36</v>
      </c>
      <c r="D957" s="8">
        <v>2.4500000000000002</v>
      </c>
      <c r="E957" s="4">
        <v>34</v>
      </c>
      <c r="F957" s="8">
        <v>5.4</v>
      </c>
      <c r="G957" s="4">
        <v>2</v>
      </c>
      <c r="H957" s="8">
        <v>0.24</v>
      </c>
      <c r="I957" s="4">
        <v>0</v>
      </c>
    </row>
    <row r="958" spans="1:9" x14ac:dyDescent="0.2">
      <c r="A958" s="2">
        <v>8</v>
      </c>
      <c r="B958" s="1" t="s">
        <v>163</v>
      </c>
      <c r="C958" s="4">
        <v>34</v>
      </c>
      <c r="D958" s="8">
        <v>2.31</v>
      </c>
      <c r="E958" s="4">
        <v>24</v>
      </c>
      <c r="F958" s="8">
        <v>3.81</v>
      </c>
      <c r="G958" s="4">
        <v>10</v>
      </c>
      <c r="H958" s="8">
        <v>1.21</v>
      </c>
      <c r="I958" s="4">
        <v>0</v>
      </c>
    </row>
    <row r="959" spans="1:9" x14ac:dyDescent="0.2">
      <c r="A959" s="2">
        <v>9</v>
      </c>
      <c r="B959" s="1" t="s">
        <v>156</v>
      </c>
      <c r="C959" s="4">
        <v>33</v>
      </c>
      <c r="D959" s="8">
        <v>2.25</v>
      </c>
      <c r="E959" s="4">
        <v>8</v>
      </c>
      <c r="F959" s="8">
        <v>1.27</v>
      </c>
      <c r="G959" s="4">
        <v>25</v>
      </c>
      <c r="H959" s="8">
        <v>3.03</v>
      </c>
      <c r="I959" s="4">
        <v>0</v>
      </c>
    </row>
    <row r="960" spans="1:9" x14ac:dyDescent="0.2">
      <c r="A960" s="2">
        <v>10</v>
      </c>
      <c r="B960" s="1" t="s">
        <v>152</v>
      </c>
      <c r="C960" s="4">
        <v>31</v>
      </c>
      <c r="D960" s="8">
        <v>2.11</v>
      </c>
      <c r="E960" s="4">
        <v>4</v>
      </c>
      <c r="F960" s="8">
        <v>0.63</v>
      </c>
      <c r="G960" s="4">
        <v>27</v>
      </c>
      <c r="H960" s="8">
        <v>3.27</v>
      </c>
      <c r="I960" s="4">
        <v>0</v>
      </c>
    </row>
    <row r="961" spans="1:9" x14ac:dyDescent="0.2">
      <c r="A961" s="2">
        <v>10</v>
      </c>
      <c r="B961" s="1" t="s">
        <v>160</v>
      </c>
      <c r="C961" s="4">
        <v>31</v>
      </c>
      <c r="D961" s="8">
        <v>2.11</v>
      </c>
      <c r="E961" s="4">
        <v>9</v>
      </c>
      <c r="F961" s="8">
        <v>1.43</v>
      </c>
      <c r="G961" s="4">
        <v>22</v>
      </c>
      <c r="H961" s="8">
        <v>2.67</v>
      </c>
      <c r="I961" s="4">
        <v>0</v>
      </c>
    </row>
    <row r="962" spans="1:9" x14ac:dyDescent="0.2">
      <c r="A962" s="2">
        <v>12</v>
      </c>
      <c r="B962" s="1" t="s">
        <v>169</v>
      </c>
      <c r="C962" s="4">
        <v>28</v>
      </c>
      <c r="D962" s="8">
        <v>1.91</v>
      </c>
      <c r="E962" s="4">
        <v>19</v>
      </c>
      <c r="F962" s="8">
        <v>3.02</v>
      </c>
      <c r="G962" s="4">
        <v>9</v>
      </c>
      <c r="H962" s="8">
        <v>1.0900000000000001</v>
      </c>
      <c r="I962" s="4">
        <v>0</v>
      </c>
    </row>
    <row r="963" spans="1:9" x14ac:dyDescent="0.2">
      <c r="A963" s="2">
        <v>13</v>
      </c>
      <c r="B963" s="1" t="s">
        <v>162</v>
      </c>
      <c r="C963" s="4">
        <v>27</v>
      </c>
      <c r="D963" s="8">
        <v>1.84</v>
      </c>
      <c r="E963" s="4">
        <v>9</v>
      </c>
      <c r="F963" s="8">
        <v>1.43</v>
      </c>
      <c r="G963" s="4">
        <v>18</v>
      </c>
      <c r="H963" s="8">
        <v>2.1800000000000002</v>
      </c>
      <c r="I963" s="4">
        <v>0</v>
      </c>
    </row>
    <row r="964" spans="1:9" x14ac:dyDescent="0.2">
      <c r="A964" s="2">
        <v>14</v>
      </c>
      <c r="B964" s="1" t="s">
        <v>153</v>
      </c>
      <c r="C964" s="4">
        <v>26</v>
      </c>
      <c r="D964" s="8">
        <v>1.77</v>
      </c>
      <c r="E964" s="4">
        <v>0</v>
      </c>
      <c r="F964" s="8">
        <v>0</v>
      </c>
      <c r="G964" s="4">
        <v>26</v>
      </c>
      <c r="H964" s="8">
        <v>3.15</v>
      </c>
      <c r="I964" s="4">
        <v>0</v>
      </c>
    </row>
    <row r="965" spans="1:9" x14ac:dyDescent="0.2">
      <c r="A965" s="2">
        <v>15</v>
      </c>
      <c r="B965" s="1" t="s">
        <v>203</v>
      </c>
      <c r="C965" s="4">
        <v>25</v>
      </c>
      <c r="D965" s="8">
        <v>1.7</v>
      </c>
      <c r="E965" s="4">
        <v>2</v>
      </c>
      <c r="F965" s="8">
        <v>0.32</v>
      </c>
      <c r="G965" s="4">
        <v>23</v>
      </c>
      <c r="H965" s="8">
        <v>2.79</v>
      </c>
      <c r="I965" s="4">
        <v>0</v>
      </c>
    </row>
    <row r="966" spans="1:9" x14ac:dyDescent="0.2">
      <c r="A966" s="2">
        <v>16</v>
      </c>
      <c r="B966" s="1" t="s">
        <v>157</v>
      </c>
      <c r="C966" s="4">
        <v>23</v>
      </c>
      <c r="D966" s="8">
        <v>1.57</v>
      </c>
      <c r="E966" s="4">
        <v>7</v>
      </c>
      <c r="F966" s="8">
        <v>1.1100000000000001</v>
      </c>
      <c r="G966" s="4">
        <v>16</v>
      </c>
      <c r="H966" s="8">
        <v>1.94</v>
      </c>
      <c r="I966" s="4">
        <v>0</v>
      </c>
    </row>
    <row r="967" spans="1:9" x14ac:dyDescent="0.2">
      <c r="A967" s="2">
        <v>17</v>
      </c>
      <c r="B967" s="1" t="s">
        <v>200</v>
      </c>
      <c r="C967" s="4">
        <v>20</v>
      </c>
      <c r="D967" s="8">
        <v>1.36</v>
      </c>
      <c r="E967" s="4">
        <v>5</v>
      </c>
      <c r="F967" s="8">
        <v>0.79</v>
      </c>
      <c r="G967" s="4">
        <v>15</v>
      </c>
      <c r="H967" s="8">
        <v>1.82</v>
      </c>
      <c r="I967" s="4">
        <v>0</v>
      </c>
    </row>
    <row r="968" spans="1:9" x14ac:dyDescent="0.2">
      <c r="A968" s="2">
        <v>18</v>
      </c>
      <c r="B968" s="1" t="s">
        <v>155</v>
      </c>
      <c r="C968" s="4">
        <v>19</v>
      </c>
      <c r="D968" s="8">
        <v>1.29</v>
      </c>
      <c r="E968" s="4">
        <v>3</v>
      </c>
      <c r="F968" s="8">
        <v>0.48</v>
      </c>
      <c r="G968" s="4">
        <v>16</v>
      </c>
      <c r="H968" s="8">
        <v>1.94</v>
      </c>
      <c r="I968" s="4">
        <v>0</v>
      </c>
    </row>
    <row r="969" spans="1:9" x14ac:dyDescent="0.2">
      <c r="A969" s="2">
        <v>18</v>
      </c>
      <c r="B969" s="1" t="s">
        <v>159</v>
      </c>
      <c r="C969" s="4">
        <v>19</v>
      </c>
      <c r="D969" s="8">
        <v>1.29</v>
      </c>
      <c r="E969" s="4">
        <v>4</v>
      </c>
      <c r="F969" s="8">
        <v>0.63</v>
      </c>
      <c r="G969" s="4">
        <v>15</v>
      </c>
      <c r="H969" s="8">
        <v>1.82</v>
      </c>
      <c r="I969" s="4">
        <v>0</v>
      </c>
    </row>
    <row r="970" spans="1:9" x14ac:dyDescent="0.2">
      <c r="A970" s="2">
        <v>20</v>
      </c>
      <c r="B970" s="1" t="s">
        <v>205</v>
      </c>
      <c r="C970" s="4">
        <v>18</v>
      </c>
      <c r="D970" s="8">
        <v>1.23</v>
      </c>
      <c r="E970" s="4">
        <v>2</v>
      </c>
      <c r="F970" s="8">
        <v>0.32</v>
      </c>
      <c r="G970" s="4">
        <v>16</v>
      </c>
      <c r="H970" s="8">
        <v>1.94</v>
      </c>
      <c r="I970" s="4">
        <v>0</v>
      </c>
    </row>
    <row r="971" spans="1:9" x14ac:dyDescent="0.2">
      <c r="A971" s="2">
        <v>20</v>
      </c>
      <c r="B971" s="1" t="s">
        <v>164</v>
      </c>
      <c r="C971" s="4">
        <v>18</v>
      </c>
      <c r="D971" s="8">
        <v>1.23</v>
      </c>
      <c r="E971" s="4">
        <v>16</v>
      </c>
      <c r="F971" s="8">
        <v>2.54</v>
      </c>
      <c r="G971" s="4">
        <v>2</v>
      </c>
      <c r="H971" s="8">
        <v>0.24</v>
      </c>
      <c r="I971" s="4">
        <v>0</v>
      </c>
    </row>
    <row r="972" spans="1:9" x14ac:dyDescent="0.2">
      <c r="A972" s="1"/>
      <c r="C972" s="4"/>
      <c r="D972" s="8"/>
      <c r="E972" s="4"/>
      <c r="F972" s="8"/>
      <c r="G972" s="4"/>
      <c r="H972" s="8"/>
      <c r="I972" s="4"/>
    </row>
    <row r="973" spans="1:9" x14ac:dyDescent="0.2">
      <c r="A973" s="1" t="s">
        <v>43</v>
      </c>
      <c r="C973" s="4"/>
      <c r="D973" s="8"/>
      <c r="E973" s="4"/>
      <c r="F973" s="8"/>
      <c r="G973" s="4"/>
      <c r="H973" s="8"/>
      <c r="I973" s="4"/>
    </row>
    <row r="974" spans="1:9" x14ac:dyDescent="0.2">
      <c r="A974" s="2">
        <v>1</v>
      </c>
      <c r="B974" s="1" t="s">
        <v>168</v>
      </c>
      <c r="C974" s="4">
        <v>45</v>
      </c>
      <c r="D974" s="8">
        <v>5.24</v>
      </c>
      <c r="E974" s="4">
        <v>43</v>
      </c>
      <c r="F974" s="8">
        <v>9.09</v>
      </c>
      <c r="G974" s="4">
        <v>2</v>
      </c>
      <c r="H974" s="8">
        <v>0.52</v>
      </c>
      <c r="I974" s="4">
        <v>0</v>
      </c>
    </row>
    <row r="975" spans="1:9" x14ac:dyDescent="0.2">
      <c r="A975" s="2">
        <v>2</v>
      </c>
      <c r="B975" s="1" t="s">
        <v>221</v>
      </c>
      <c r="C975" s="4">
        <v>39</v>
      </c>
      <c r="D975" s="8">
        <v>4.55</v>
      </c>
      <c r="E975" s="4">
        <v>14</v>
      </c>
      <c r="F975" s="8">
        <v>2.96</v>
      </c>
      <c r="G975" s="4">
        <v>25</v>
      </c>
      <c r="H975" s="8">
        <v>6.56</v>
      </c>
      <c r="I975" s="4">
        <v>0</v>
      </c>
    </row>
    <row r="976" spans="1:9" x14ac:dyDescent="0.2">
      <c r="A976" s="2">
        <v>3</v>
      </c>
      <c r="B976" s="1" t="s">
        <v>161</v>
      </c>
      <c r="C976" s="4">
        <v>38</v>
      </c>
      <c r="D976" s="8">
        <v>4.43</v>
      </c>
      <c r="E976" s="4">
        <v>22</v>
      </c>
      <c r="F976" s="8">
        <v>4.6500000000000004</v>
      </c>
      <c r="G976" s="4">
        <v>16</v>
      </c>
      <c r="H976" s="8">
        <v>4.2</v>
      </c>
      <c r="I976" s="4">
        <v>0</v>
      </c>
    </row>
    <row r="977" spans="1:9" x14ac:dyDescent="0.2">
      <c r="A977" s="2">
        <v>4</v>
      </c>
      <c r="B977" s="1" t="s">
        <v>170</v>
      </c>
      <c r="C977" s="4">
        <v>34</v>
      </c>
      <c r="D977" s="8">
        <v>3.96</v>
      </c>
      <c r="E977" s="4">
        <v>29</v>
      </c>
      <c r="F977" s="8">
        <v>6.13</v>
      </c>
      <c r="G977" s="4">
        <v>5</v>
      </c>
      <c r="H977" s="8">
        <v>1.31</v>
      </c>
      <c r="I977" s="4">
        <v>0</v>
      </c>
    </row>
    <row r="978" spans="1:9" x14ac:dyDescent="0.2">
      <c r="A978" s="2">
        <v>5</v>
      </c>
      <c r="B978" s="1" t="s">
        <v>156</v>
      </c>
      <c r="C978" s="4">
        <v>28</v>
      </c>
      <c r="D978" s="8">
        <v>3.26</v>
      </c>
      <c r="E978" s="4">
        <v>21</v>
      </c>
      <c r="F978" s="8">
        <v>4.4400000000000004</v>
      </c>
      <c r="G978" s="4">
        <v>7</v>
      </c>
      <c r="H978" s="8">
        <v>1.84</v>
      </c>
      <c r="I978" s="4">
        <v>0</v>
      </c>
    </row>
    <row r="979" spans="1:9" x14ac:dyDescent="0.2">
      <c r="A979" s="2">
        <v>6</v>
      </c>
      <c r="B979" s="1" t="s">
        <v>167</v>
      </c>
      <c r="C979" s="4">
        <v>26</v>
      </c>
      <c r="D979" s="8">
        <v>3.03</v>
      </c>
      <c r="E979" s="4">
        <v>25</v>
      </c>
      <c r="F979" s="8">
        <v>5.29</v>
      </c>
      <c r="G979" s="4">
        <v>1</v>
      </c>
      <c r="H979" s="8">
        <v>0.26</v>
      </c>
      <c r="I979" s="4">
        <v>0</v>
      </c>
    </row>
    <row r="980" spans="1:9" x14ac:dyDescent="0.2">
      <c r="A980" s="2">
        <v>7</v>
      </c>
      <c r="B980" s="1" t="s">
        <v>171</v>
      </c>
      <c r="C980" s="4">
        <v>23</v>
      </c>
      <c r="D980" s="8">
        <v>2.68</v>
      </c>
      <c r="E980" s="4">
        <v>20</v>
      </c>
      <c r="F980" s="8">
        <v>4.2300000000000004</v>
      </c>
      <c r="G980" s="4">
        <v>3</v>
      </c>
      <c r="H980" s="8">
        <v>0.79</v>
      </c>
      <c r="I980" s="4">
        <v>0</v>
      </c>
    </row>
    <row r="981" spans="1:9" x14ac:dyDescent="0.2">
      <c r="A981" s="2">
        <v>8</v>
      </c>
      <c r="B981" s="1" t="s">
        <v>205</v>
      </c>
      <c r="C981" s="4">
        <v>21</v>
      </c>
      <c r="D981" s="8">
        <v>2.4500000000000002</v>
      </c>
      <c r="E981" s="4">
        <v>12</v>
      </c>
      <c r="F981" s="8">
        <v>2.54</v>
      </c>
      <c r="G981" s="4">
        <v>9</v>
      </c>
      <c r="H981" s="8">
        <v>2.36</v>
      </c>
      <c r="I981" s="4">
        <v>0</v>
      </c>
    </row>
    <row r="982" spans="1:9" x14ac:dyDescent="0.2">
      <c r="A982" s="2">
        <v>9</v>
      </c>
      <c r="B982" s="1" t="s">
        <v>163</v>
      </c>
      <c r="C982" s="4">
        <v>20</v>
      </c>
      <c r="D982" s="8">
        <v>2.33</v>
      </c>
      <c r="E982" s="4">
        <v>15</v>
      </c>
      <c r="F982" s="8">
        <v>3.17</v>
      </c>
      <c r="G982" s="4">
        <v>5</v>
      </c>
      <c r="H982" s="8">
        <v>1.31</v>
      </c>
      <c r="I982" s="4">
        <v>0</v>
      </c>
    </row>
    <row r="983" spans="1:9" x14ac:dyDescent="0.2">
      <c r="A983" s="2">
        <v>10</v>
      </c>
      <c r="B983" s="1" t="s">
        <v>154</v>
      </c>
      <c r="C983" s="4">
        <v>17</v>
      </c>
      <c r="D983" s="8">
        <v>1.98</v>
      </c>
      <c r="E983" s="4">
        <v>7</v>
      </c>
      <c r="F983" s="8">
        <v>1.48</v>
      </c>
      <c r="G983" s="4">
        <v>10</v>
      </c>
      <c r="H983" s="8">
        <v>2.62</v>
      </c>
      <c r="I983" s="4">
        <v>0</v>
      </c>
    </row>
    <row r="984" spans="1:9" x14ac:dyDescent="0.2">
      <c r="A984" s="2">
        <v>11</v>
      </c>
      <c r="B984" s="1" t="s">
        <v>201</v>
      </c>
      <c r="C984" s="4">
        <v>15</v>
      </c>
      <c r="D984" s="8">
        <v>1.75</v>
      </c>
      <c r="E984" s="4">
        <v>3</v>
      </c>
      <c r="F984" s="8">
        <v>0.63</v>
      </c>
      <c r="G984" s="4">
        <v>12</v>
      </c>
      <c r="H984" s="8">
        <v>3.15</v>
      </c>
      <c r="I984" s="4">
        <v>0</v>
      </c>
    </row>
    <row r="985" spans="1:9" x14ac:dyDescent="0.2">
      <c r="A985" s="2">
        <v>11</v>
      </c>
      <c r="B985" s="1" t="s">
        <v>160</v>
      </c>
      <c r="C985" s="4">
        <v>15</v>
      </c>
      <c r="D985" s="8">
        <v>1.75</v>
      </c>
      <c r="E985" s="4">
        <v>0</v>
      </c>
      <c r="F985" s="8">
        <v>0</v>
      </c>
      <c r="G985" s="4">
        <v>15</v>
      </c>
      <c r="H985" s="8">
        <v>3.94</v>
      </c>
      <c r="I985" s="4">
        <v>0</v>
      </c>
    </row>
    <row r="986" spans="1:9" x14ac:dyDescent="0.2">
      <c r="A986" s="2">
        <v>13</v>
      </c>
      <c r="B986" s="1" t="s">
        <v>202</v>
      </c>
      <c r="C986" s="4">
        <v>13</v>
      </c>
      <c r="D986" s="8">
        <v>1.52</v>
      </c>
      <c r="E986" s="4">
        <v>6</v>
      </c>
      <c r="F986" s="8">
        <v>1.27</v>
      </c>
      <c r="G986" s="4">
        <v>7</v>
      </c>
      <c r="H986" s="8">
        <v>1.84</v>
      </c>
      <c r="I986" s="4">
        <v>0</v>
      </c>
    </row>
    <row r="987" spans="1:9" x14ac:dyDescent="0.2">
      <c r="A987" s="2">
        <v>13</v>
      </c>
      <c r="B987" s="1" t="s">
        <v>164</v>
      </c>
      <c r="C987" s="4">
        <v>13</v>
      </c>
      <c r="D987" s="8">
        <v>1.52</v>
      </c>
      <c r="E987" s="4">
        <v>12</v>
      </c>
      <c r="F987" s="8">
        <v>2.54</v>
      </c>
      <c r="G987" s="4">
        <v>1</v>
      </c>
      <c r="H987" s="8">
        <v>0.26</v>
      </c>
      <c r="I987" s="4">
        <v>0</v>
      </c>
    </row>
    <row r="988" spans="1:9" x14ac:dyDescent="0.2">
      <c r="A988" s="2">
        <v>13</v>
      </c>
      <c r="B988" s="1" t="s">
        <v>166</v>
      </c>
      <c r="C988" s="4">
        <v>13</v>
      </c>
      <c r="D988" s="8">
        <v>1.52</v>
      </c>
      <c r="E988" s="4">
        <v>9</v>
      </c>
      <c r="F988" s="8">
        <v>1.9</v>
      </c>
      <c r="G988" s="4">
        <v>4</v>
      </c>
      <c r="H988" s="8">
        <v>1.05</v>
      </c>
      <c r="I988" s="4">
        <v>0</v>
      </c>
    </row>
    <row r="989" spans="1:9" x14ac:dyDescent="0.2">
      <c r="A989" s="2">
        <v>16</v>
      </c>
      <c r="B989" s="1" t="s">
        <v>152</v>
      </c>
      <c r="C989" s="4">
        <v>12</v>
      </c>
      <c r="D989" s="8">
        <v>1.4</v>
      </c>
      <c r="E989" s="4">
        <v>2</v>
      </c>
      <c r="F989" s="8">
        <v>0.42</v>
      </c>
      <c r="G989" s="4">
        <v>10</v>
      </c>
      <c r="H989" s="8">
        <v>2.62</v>
      </c>
      <c r="I989" s="4">
        <v>0</v>
      </c>
    </row>
    <row r="990" spans="1:9" x14ac:dyDescent="0.2">
      <c r="A990" s="2">
        <v>16</v>
      </c>
      <c r="B990" s="1" t="s">
        <v>155</v>
      </c>
      <c r="C990" s="4">
        <v>12</v>
      </c>
      <c r="D990" s="8">
        <v>1.4</v>
      </c>
      <c r="E990" s="4">
        <v>4</v>
      </c>
      <c r="F990" s="8">
        <v>0.85</v>
      </c>
      <c r="G990" s="4">
        <v>8</v>
      </c>
      <c r="H990" s="8">
        <v>2.1</v>
      </c>
      <c r="I990" s="4">
        <v>0</v>
      </c>
    </row>
    <row r="991" spans="1:9" x14ac:dyDescent="0.2">
      <c r="A991" s="2">
        <v>16</v>
      </c>
      <c r="B991" s="1" t="s">
        <v>157</v>
      </c>
      <c r="C991" s="4">
        <v>12</v>
      </c>
      <c r="D991" s="8">
        <v>1.4</v>
      </c>
      <c r="E991" s="4">
        <v>8</v>
      </c>
      <c r="F991" s="8">
        <v>1.69</v>
      </c>
      <c r="G991" s="4">
        <v>4</v>
      </c>
      <c r="H991" s="8">
        <v>1.05</v>
      </c>
      <c r="I991" s="4">
        <v>0</v>
      </c>
    </row>
    <row r="992" spans="1:9" x14ac:dyDescent="0.2">
      <c r="A992" s="2">
        <v>16</v>
      </c>
      <c r="B992" s="1" t="s">
        <v>158</v>
      </c>
      <c r="C992" s="4">
        <v>12</v>
      </c>
      <c r="D992" s="8">
        <v>1.4</v>
      </c>
      <c r="E992" s="4">
        <v>8</v>
      </c>
      <c r="F992" s="8">
        <v>1.69</v>
      </c>
      <c r="G992" s="4">
        <v>4</v>
      </c>
      <c r="H992" s="8">
        <v>1.05</v>
      </c>
      <c r="I992" s="4">
        <v>0</v>
      </c>
    </row>
    <row r="993" spans="1:9" x14ac:dyDescent="0.2">
      <c r="A993" s="2">
        <v>16</v>
      </c>
      <c r="B993" s="1" t="s">
        <v>165</v>
      </c>
      <c r="C993" s="4">
        <v>12</v>
      </c>
      <c r="D993" s="8">
        <v>1.4</v>
      </c>
      <c r="E993" s="4">
        <v>12</v>
      </c>
      <c r="F993" s="8">
        <v>2.54</v>
      </c>
      <c r="G993" s="4">
        <v>0</v>
      </c>
      <c r="H993" s="8">
        <v>0</v>
      </c>
      <c r="I993" s="4">
        <v>0</v>
      </c>
    </row>
    <row r="994" spans="1:9" x14ac:dyDescent="0.2">
      <c r="A994" s="1"/>
      <c r="C994" s="4"/>
      <c r="D994" s="8"/>
      <c r="E994" s="4"/>
      <c r="F994" s="8"/>
      <c r="G994" s="4"/>
      <c r="H994" s="8"/>
      <c r="I994" s="4"/>
    </row>
    <row r="995" spans="1:9" x14ac:dyDescent="0.2">
      <c r="A995" s="1" t="s">
        <v>44</v>
      </c>
      <c r="C995" s="4"/>
      <c r="D995" s="8"/>
      <c r="E995" s="4"/>
      <c r="F995" s="8"/>
      <c r="G995" s="4"/>
      <c r="H995" s="8"/>
      <c r="I995" s="4"/>
    </row>
    <row r="996" spans="1:9" x14ac:dyDescent="0.2">
      <c r="A996" s="2">
        <v>1</v>
      </c>
      <c r="B996" s="1" t="s">
        <v>161</v>
      </c>
      <c r="C996" s="4">
        <v>96</v>
      </c>
      <c r="D996" s="8">
        <v>11.11</v>
      </c>
      <c r="E996" s="4">
        <v>63</v>
      </c>
      <c r="F996" s="8">
        <v>14.06</v>
      </c>
      <c r="G996" s="4">
        <v>33</v>
      </c>
      <c r="H996" s="8">
        <v>7.97</v>
      </c>
      <c r="I996" s="4">
        <v>0</v>
      </c>
    </row>
    <row r="997" spans="1:9" x14ac:dyDescent="0.2">
      <c r="A997" s="2">
        <v>2</v>
      </c>
      <c r="B997" s="1" t="s">
        <v>170</v>
      </c>
      <c r="C997" s="4">
        <v>45</v>
      </c>
      <c r="D997" s="8">
        <v>5.21</v>
      </c>
      <c r="E997" s="4">
        <v>34</v>
      </c>
      <c r="F997" s="8">
        <v>7.59</v>
      </c>
      <c r="G997" s="4">
        <v>11</v>
      </c>
      <c r="H997" s="8">
        <v>2.66</v>
      </c>
      <c r="I997" s="4">
        <v>0</v>
      </c>
    </row>
    <row r="998" spans="1:9" x14ac:dyDescent="0.2">
      <c r="A998" s="2">
        <v>3</v>
      </c>
      <c r="B998" s="1" t="s">
        <v>168</v>
      </c>
      <c r="C998" s="4">
        <v>35</v>
      </c>
      <c r="D998" s="8">
        <v>4.05</v>
      </c>
      <c r="E998" s="4">
        <v>31</v>
      </c>
      <c r="F998" s="8">
        <v>6.92</v>
      </c>
      <c r="G998" s="4">
        <v>4</v>
      </c>
      <c r="H998" s="8">
        <v>0.97</v>
      </c>
      <c r="I998" s="4">
        <v>0</v>
      </c>
    </row>
    <row r="999" spans="1:9" x14ac:dyDescent="0.2">
      <c r="A999" s="2">
        <v>4</v>
      </c>
      <c r="B999" s="1" t="s">
        <v>165</v>
      </c>
      <c r="C999" s="4">
        <v>34</v>
      </c>
      <c r="D999" s="8">
        <v>3.94</v>
      </c>
      <c r="E999" s="4">
        <v>33</v>
      </c>
      <c r="F999" s="8">
        <v>7.37</v>
      </c>
      <c r="G999" s="4">
        <v>1</v>
      </c>
      <c r="H999" s="8">
        <v>0.24</v>
      </c>
      <c r="I999" s="4">
        <v>0</v>
      </c>
    </row>
    <row r="1000" spans="1:9" x14ac:dyDescent="0.2">
      <c r="A1000" s="2">
        <v>5</v>
      </c>
      <c r="B1000" s="1" t="s">
        <v>164</v>
      </c>
      <c r="C1000" s="4">
        <v>31</v>
      </c>
      <c r="D1000" s="8">
        <v>3.59</v>
      </c>
      <c r="E1000" s="4">
        <v>30</v>
      </c>
      <c r="F1000" s="8">
        <v>6.7</v>
      </c>
      <c r="G1000" s="4">
        <v>1</v>
      </c>
      <c r="H1000" s="8">
        <v>0.24</v>
      </c>
      <c r="I1000" s="4">
        <v>0</v>
      </c>
    </row>
    <row r="1001" spans="1:9" x14ac:dyDescent="0.2">
      <c r="A1001" s="2">
        <v>6</v>
      </c>
      <c r="B1001" s="1" t="s">
        <v>171</v>
      </c>
      <c r="C1001" s="4">
        <v>28</v>
      </c>
      <c r="D1001" s="8">
        <v>3.24</v>
      </c>
      <c r="E1001" s="4">
        <v>23</v>
      </c>
      <c r="F1001" s="8">
        <v>5.13</v>
      </c>
      <c r="G1001" s="4">
        <v>5</v>
      </c>
      <c r="H1001" s="8">
        <v>1.21</v>
      </c>
      <c r="I1001" s="4">
        <v>0</v>
      </c>
    </row>
    <row r="1002" spans="1:9" x14ac:dyDescent="0.2">
      <c r="A1002" s="2">
        <v>7</v>
      </c>
      <c r="B1002" s="1" t="s">
        <v>167</v>
      </c>
      <c r="C1002" s="4">
        <v>24</v>
      </c>
      <c r="D1002" s="8">
        <v>2.78</v>
      </c>
      <c r="E1002" s="4">
        <v>20</v>
      </c>
      <c r="F1002" s="8">
        <v>4.46</v>
      </c>
      <c r="G1002" s="4">
        <v>4</v>
      </c>
      <c r="H1002" s="8">
        <v>0.97</v>
      </c>
      <c r="I1002" s="4">
        <v>0</v>
      </c>
    </row>
    <row r="1003" spans="1:9" x14ac:dyDescent="0.2">
      <c r="A1003" s="2">
        <v>8</v>
      </c>
      <c r="B1003" s="1" t="s">
        <v>163</v>
      </c>
      <c r="C1003" s="4">
        <v>19</v>
      </c>
      <c r="D1003" s="8">
        <v>2.2000000000000002</v>
      </c>
      <c r="E1003" s="4">
        <v>14</v>
      </c>
      <c r="F1003" s="8">
        <v>3.13</v>
      </c>
      <c r="G1003" s="4">
        <v>5</v>
      </c>
      <c r="H1003" s="8">
        <v>1.21</v>
      </c>
      <c r="I1003" s="4">
        <v>0</v>
      </c>
    </row>
    <row r="1004" spans="1:9" x14ac:dyDescent="0.2">
      <c r="A1004" s="2">
        <v>9</v>
      </c>
      <c r="B1004" s="1" t="s">
        <v>160</v>
      </c>
      <c r="C1004" s="4">
        <v>17</v>
      </c>
      <c r="D1004" s="8">
        <v>1.97</v>
      </c>
      <c r="E1004" s="4">
        <v>2</v>
      </c>
      <c r="F1004" s="8">
        <v>0.45</v>
      </c>
      <c r="G1004" s="4">
        <v>15</v>
      </c>
      <c r="H1004" s="8">
        <v>3.62</v>
      </c>
      <c r="I1004" s="4">
        <v>0</v>
      </c>
    </row>
    <row r="1005" spans="1:9" x14ac:dyDescent="0.2">
      <c r="A1005" s="2">
        <v>10</v>
      </c>
      <c r="B1005" s="1" t="s">
        <v>186</v>
      </c>
      <c r="C1005" s="4">
        <v>16</v>
      </c>
      <c r="D1005" s="8">
        <v>1.85</v>
      </c>
      <c r="E1005" s="4">
        <v>9</v>
      </c>
      <c r="F1005" s="8">
        <v>2.0099999999999998</v>
      </c>
      <c r="G1005" s="4">
        <v>7</v>
      </c>
      <c r="H1005" s="8">
        <v>1.69</v>
      </c>
      <c r="I1005" s="4">
        <v>0</v>
      </c>
    </row>
    <row r="1006" spans="1:9" x14ac:dyDescent="0.2">
      <c r="A1006" s="2">
        <v>10</v>
      </c>
      <c r="B1006" s="1" t="s">
        <v>158</v>
      </c>
      <c r="C1006" s="4">
        <v>16</v>
      </c>
      <c r="D1006" s="8">
        <v>1.85</v>
      </c>
      <c r="E1006" s="4">
        <v>10</v>
      </c>
      <c r="F1006" s="8">
        <v>2.23</v>
      </c>
      <c r="G1006" s="4">
        <v>6</v>
      </c>
      <c r="H1006" s="8">
        <v>1.45</v>
      </c>
      <c r="I1006" s="4">
        <v>0</v>
      </c>
    </row>
    <row r="1007" spans="1:9" x14ac:dyDescent="0.2">
      <c r="A1007" s="2">
        <v>12</v>
      </c>
      <c r="B1007" s="1" t="s">
        <v>169</v>
      </c>
      <c r="C1007" s="4">
        <v>15</v>
      </c>
      <c r="D1007" s="8">
        <v>1.74</v>
      </c>
      <c r="E1007" s="4">
        <v>13</v>
      </c>
      <c r="F1007" s="8">
        <v>2.9</v>
      </c>
      <c r="G1007" s="4">
        <v>2</v>
      </c>
      <c r="H1007" s="8">
        <v>0.48</v>
      </c>
      <c r="I1007" s="4">
        <v>0</v>
      </c>
    </row>
    <row r="1008" spans="1:9" x14ac:dyDescent="0.2">
      <c r="A1008" s="2">
        <v>13</v>
      </c>
      <c r="B1008" s="1" t="s">
        <v>152</v>
      </c>
      <c r="C1008" s="4">
        <v>14</v>
      </c>
      <c r="D1008" s="8">
        <v>1.62</v>
      </c>
      <c r="E1008" s="4">
        <v>1</v>
      </c>
      <c r="F1008" s="8">
        <v>0.22</v>
      </c>
      <c r="G1008" s="4">
        <v>13</v>
      </c>
      <c r="H1008" s="8">
        <v>3.14</v>
      </c>
      <c r="I1008" s="4">
        <v>0</v>
      </c>
    </row>
    <row r="1009" spans="1:9" x14ac:dyDescent="0.2">
      <c r="A1009" s="2">
        <v>14</v>
      </c>
      <c r="B1009" s="1" t="s">
        <v>156</v>
      </c>
      <c r="C1009" s="4">
        <v>13</v>
      </c>
      <c r="D1009" s="8">
        <v>1.5</v>
      </c>
      <c r="E1009" s="4">
        <v>9</v>
      </c>
      <c r="F1009" s="8">
        <v>2.0099999999999998</v>
      </c>
      <c r="G1009" s="4">
        <v>4</v>
      </c>
      <c r="H1009" s="8">
        <v>0.97</v>
      </c>
      <c r="I1009" s="4">
        <v>0</v>
      </c>
    </row>
    <row r="1010" spans="1:9" x14ac:dyDescent="0.2">
      <c r="A1010" s="2">
        <v>14</v>
      </c>
      <c r="B1010" s="1" t="s">
        <v>174</v>
      </c>
      <c r="C1010" s="4">
        <v>13</v>
      </c>
      <c r="D1010" s="8">
        <v>1.5</v>
      </c>
      <c r="E1010" s="4">
        <v>2</v>
      </c>
      <c r="F1010" s="8">
        <v>0.45</v>
      </c>
      <c r="G1010" s="4">
        <v>11</v>
      </c>
      <c r="H1010" s="8">
        <v>2.66</v>
      </c>
      <c r="I1010" s="4">
        <v>0</v>
      </c>
    </row>
    <row r="1011" spans="1:9" x14ac:dyDescent="0.2">
      <c r="A1011" s="2">
        <v>16</v>
      </c>
      <c r="B1011" s="1" t="s">
        <v>166</v>
      </c>
      <c r="C1011" s="4">
        <v>12</v>
      </c>
      <c r="D1011" s="8">
        <v>1.39</v>
      </c>
      <c r="E1011" s="4">
        <v>5</v>
      </c>
      <c r="F1011" s="8">
        <v>1.1200000000000001</v>
      </c>
      <c r="G1011" s="4">
        <v>7</v>
      </c>
      <c r="H1011" s="8">
        <v>1.69</v>
      </c>
      <c r="I1011" s="4">
        <v>0</v>
      </c>
    </row>
    <row r="1012" spans="1:9" x14ac:dyDescent="0.2">
      <c r="A1012" s="2">
        <v>17</v>
      </c>
      <c r="B1012" s="1" t="s">
        <v>157</v>
      </c>
      <c r="C1012" s="4">
        <v>11</v>
      </c>
      <c r="D1012" s="8">
        <v>1.27</v>
      </c>
      <c r="E1012" s="4">
        <v>3</v>
      </c>
      <c r="F1012" s="8">
        <v>0.67</v>
      </c>
      <c r="G1012" s="4">
        <v>8</v>
      </c>
      <c r="H1012" s="8">
        <v>1.93</v>
      </c>
      <c r="I1012" s="4">
        <v>0</v>
      </c>
    </row>
    <row r="1013" spans="1:9" x14ac:dyDescent="0.2">
      <c r="A1013" s="2">
        <v>18</v>
      </c>
      <c r="B1013" s="1" t="s">
        <v>159</v>
      </c>
      <c r="C1013" s="4">
        <v>9</v>
      </c>
      <c r="D1013" s="8">
        <v>1.04</v>
      </c>
      <c r="E1013" s="4">
        <v>0</v>
      </c>
      <c r="F1013" s="8">
        <v>0</v>
      </c>
      <c r="G1013" s="4">
        <v>9</v>
      </c>
      <c r="H1013" s="8">
        <v>2.17</v>
      </c>
      <c r="I1013" s="4">
        <v>0</v>
      </c>
    </row>
    <row r="1014" spans="1:9" x14ac:dyDescent="0.2">
      <c r="A1014" s="2">
        <v>18</v>
      </c>
      <c r="B1014" s="1" t="s">
        <v>193</v>
      </c>
      <c r="C1014" s="4">
        <v>9</v>
      </c>
      <c r="D1014" s="8">
        <v>1.04</v>
      </c>
      <c r="E1014" s="4">
        <v>6</v>
      </c>
      <c r="F1014" s="8">
        <v>1.34</v>
      </c>
      <c r="G1014" s="4">
        <v>3</v>
      </c>
      <c r="H1014" s="8">
        <v>0.72</v>
      </c>
      <c r="I1014" s="4">
        <v>0</v>
      </c>
    </row>
    <row r="1015" spans="1:9" x14ac:dyDescent="0.2">
      <c r="A1015" s="2">
        <v>18</v>
      </c>
      <c r="B1015" s="1" t="s">
        <v>176</v>
      </c>
      <c r="C1015" s="4">
        <v>9</v>
      </c>
      <c r="D1015" s="8">
        <v>1.04</v>
      </c>
      <c r="E1015" s="4">
        <v>9</v>
      </c>
      <c r="F1015" s="8">
        <v>2.0099999999999998</v>
      </c>
      <c r="G1015" s="4">
        <v>0</v>
      </c>
      <c r="H1015" s="8">
        <v>0</v>
      </c>
      <c r="I1015" s="4">
        <v>0</v>
      </c>
    </row>
    <row r="1016" spans="1:9" x14ac:dyDescent="0.2">
      <c r="A1016" s="1"/>
      <c r="C1016" s="4"/>
      <c r="D1016" s="8"/>
      <c r="E1016" s="4"/>
      <c r="F1016" s="8"/>
      <c r="G1016" s="4"/>
      <c r="H1016" s="8"/>
      <c r="I1016" s="4"/>
    </row>
    <row r="1017" spans="1:9" x14ac:dyDescent="0.2">
      <c r="A1017" s="1" t="s">
        <v>45</v>
      </c>
      <c r="C1017" s="4"/>
      <c r="D1017" s="8"/>
      <c r="E1017" s="4"/>
      <c r="F1017" s="8"/>
      <c r="G1017" s="4"/>
      <c r="H1017" s="8"/>
      <c r="I1017" s="4"/>
    </row>
    <row r="1018" spans="1:9" x14ac:dyDescent="0.2">
      <c r="A1018" s="2">
        <v>1</v>
      </c>
      <c r="B1018" s="1" t="s">
        <v>161</v>
      </c>
      <c r="C1018" s="4">
        <v>80</v>
      </c>
      <c r="D1018" s="8">
        <v>6.29</v>
      </c>
      <c r="E1018" s="4">
        <v>46</v>
      </c>
      <c r="F1018" s="8">
        <v>8.07</v>
      </c>
      <c r="G1018" s="4">
        <v>34</v>
      </c>
      <c r="H1018" s="8">
        <v>4.88</v>
      </c>
      <c r="I1018" s="4">
        <v>0</v>
      </c>
    </row>
    <row r="1019" spans="1:9" x14ac:dyDescent="0.2">
      <c r="A1019" s="2">
        <v>2</v>
      </c>
      <c r="B1019" s="1" t="s">
        <v>168</v>
      </c>
      <c r="C1019" s="4">
        <v>48</v>
      </c>
      <c r="D1019" s="8">
        <v>3.77</v>
      </c>
      <c r="E1019" s="4">
        <v>41</v>
      </c>
      <c r="F1019" s="8">
        <v>7.19</v>
      </c>
      <c r="G1019" s="4">
        <v>7</v>
      </c>
      <c r="H1019" s="8">
        <v>1</v>
      </c>
      <c r="I1019" s="4">
        <v>0</v>
      </c>
    </row>
    <row r="1020" spans="1:9" x14ac:dyDescent="0.2">
      <c r="A1020" s="2">
        <v>3</v>
      </c>
      <c r="B1020" s="1" t="s">
        <v>170</v>
      </c>
      <c r="C1020" s="4">
        <v>40</v>
      </c>
      <c r="D1020" s="8">
        <v>3.14</v>
      </c>
      <c r="E1020" s="4">
        <v>34</v>
      </c>
      <c r="F1020" s="8">
        <v>5.96</v>
      </c>
      <c r="G1020" s="4">
        <v>6</v>
      </c>
      <c r="H1020" s="8">
        <v>0.86</v>
      </c>
      <c r="I1020" s="4">
        <v>0</v>
      </c>
    </row>
    <row r="1021" spans="1:9" x14ac:dyDescent="0.2">
      <c r="A1021" s="2">
        <v>4</v>
      </c>
      <c r="B1021" s="1" t="s">
        <v>156</v>
      </c>
      <c r="C1021" s="4">
        <v>36</v>
      </c>
      <c r="D1021" s="8">
        <v>2.83</v>
      </c>
      <c r="E1021" s="4">
        <v>14</v>
      </c>
      <c r="F1021" s="8">
        <v>2.46</v>
      </c>
      <c r="G1021" s="4">
        <v>22</v>
      </c>
      <c r="H1021" s="8">
        <v>3.16</v>
      </c>
      <c r="I1021" s="4">
        <v>0</v>
      </c>
    </row>
    <row r="1022" spans="1:9" x14ac:dyDescent="0.2">
      <c r="A1022" s="2">
        <v>4</v>
      </c>
      <c r="B1022" s="1" t="s">
        <v>171</v>
      </c>
      <c r="C1022" s="4">
        <v>36</v>
      </c>
      <c r="D1022" s="8">
        <v>2.83</v>
      </c>
      <c r="E1022" s="4">
        <v>30</v>
      </c>
      <c r="F1022" s="8">
        <v>5.26</v>
      </c>
      <c r="G1022" s="4">
        <v>6</v>
      </c>
      <c r="H1022" s="8">
        <v>0.86</v>
      </c>
      <c r="I1022" s="4">
        <v>0</v>
      </c>
    </row>
    <row r="1023" spans="1:9" x14ac:dyDescent="0.2">
      <c r="A1023" s="2">
        <v>6</v>
      </c>
      <c r="B1023" s="1" t="s">
        <v>165</v>
      </c>
      <c r="C1023" s="4">
        <v>34</v>
      </c>
      <c r="D1023" s="8">
        <v>2.67</v>
      </c>
      <c r="E1023" s="4">
        <v>30</v>
      </c>
      <c r="F1023" s="8">
        <v>5.26</v>
      </c>
      <c r="G1023" s="4">
        <v>4</v>
      </c>
      <c r="H1023" s="8">
        <v>0.56999999999999995</v>
      </c>
      <c r="I1023" s="4">
        <v>0</v>
      </c>
    </row>
    <row r="1024" spans="1:9" x14ac:dyDescent="0.2">
      <c r="A1024" s="2">
        <v>7</v>
      </c>
      <c r="B1024" s="1" t="s">
        <v>167</v>
      </c>
      <c r="C1024" s="4">
        <v>32</v>
      </c>
      <c r="D1024" s="8">
        <v>2.52</v>
      </c>
      <c r="E1024" s="4">
        <v>26</v>
      </c>
      <c r="F1024" s="8">
        <v>4.5599999999999996</v>
      </c>
      <c r="G1024" s="4">
        <v>6</v>
      </c>
      <c r="H1024" s="8">
        <v>0.86</v>
      </c>
      <c r="I1024" s="4">
        <v>0</v>
      </c>
    </row>
    <row r="1025" spans="1:9" x14ac:dyDescent="0.2">
      <c r="A1025" s="2">
        <v>8</v>
      </c>
      <c r="B1025" s="1" t="s">
        <v>154</v>
      </c>
      <c r="C1025" s="4">
        <v>27</v>
      </c>
      <c r="D1025" s="8">
        <v>2.12</v>
      </c>
      <c r="E1025" s="4">
        <v>4</v>
      </c>
      <c r="F1025" s="8">
        <v>0.7</v>
      </c>
      <c r="G1025" s="4">
        <v>22</v>
      </c>
      <c r="H1025" s="8">
        <v>3.16</v>
      </c>
      <c r="I1025" s="4">
        <v>1</v>
      </c>
    </row>
    <row r="1026" spans="1:9" x14ac:dyDescent="0.2">
      <c r="A1026" s="2">
        <v>9</v>
      </c>
      <c r="B1026" s="1" t="s">
        <v>157</v>
      </c>
      <c r="C1026" s="4">
        <v>25</v>
      </c>
      <c r="D1026" s="8">
        <v>1.97</v>
      </c>
      <c r="E1026" s="4">
        <v>11</v>
      </c>
      <c r="F1026" s="8">
        <v>1.93</v>
      </c>
      <c r="G1026" s="4">
        <v>14</v>
      </c>
      <c r="H1026" s="8">
        <v>2.0099999999999998</v>
      </c>
      <c r="I1026" s="4">
        <v>0</v>
      </c>
    </row>
    <row r="1027" spans="1:9" x14ac:dyDescent="0.2">
      <c r="A1027" s="2">
        <v>9</v>
      </c>
      <c r="B1027" s="1" t="s">
        <v>160</v>
      </c>
      <c r="C1027" s="4">
        <v>25</v>
      </c>
      <c r="D1027" s="8">
        <v>1.97</v>
      </c>
      <c r="E1027" s="4">
        <v>4</v>
      </c>
      <c r="F1027" s="8">
        <v>0.7</v>
      </c>
      <c r="G1027" s="4">
        <v>21</v>
      </c>
      <c r="H1027" s="8">
        <v>3.01</v>
      </c>
      <c r="I1027" s="4">
        <v>0</v>
      </c>
    </row>
    <row r="1028" spans="1:9" x14ac:dyDescent="0.2">
      <c r="A1028" s="2">
        <v>11</v>
      </c>
      <c r="B1028" s="1" t="s">
        <v>153</v>
      </c>
      <c r="C1028" s="4">
        <v>24</v>
      </c>
      <c r="D1028" s="8">
        <v>1.89</v>
      </c>
      <c r="E1028" s="4">
        <v>4</v>
      </c>
      <c r="F1028" s="8">
        <v>0.7</v>
      </c>
      <c r="G1028" s="4">
        <v>20</v>
      </c>
      <c r="H1028" s="8">
        <v>2.87</v>
      </c>
      <c r="I1028" s="4">
        <v>0</v>
      </c>
    </row>
    <row r="1029" spans="1:9" x14ac:dyDescent="0.2">
      <c r="A1029" s="2">
        <v>12</v>
      </c>
      <c r="B1029" s="1" t="s">
        <v>166</v>
      </c>
      <c r="C1029" s="4">
        <v>21</v>
      </c>
      <c r="D1029" s="8">
        <v>1.65</v>
      </c>
      <c r="E1029" s="4">
        <v>14</v>
      </c>
      <c r="F1029" s="8">
        <v>2.46</v>
      </c>
      <c r="G1029" s="4">
        <v>7</v>
      </c>
      <c r="H1029" s="8">
        <v>1</v>
      </c>
      <c r="I1029" s="4">
        <v>0</v>
      </c>
    </row>
    <row r="1030" spans="1:9" x14ac:dyDescent="0.2">
      <c r="A1030" s="2">
        <v>13</v>
      </c>
      <c r="B1030" s="1" t="s">
        <v>152</v>
      </c>
      <c r="C1030" s="4">
        <v>20</v>
      </c>
      <c r="D1030" s="8">
        <v>1.57</v>
      </c>
      <c r="E1030" s="4">
        <v>1</v>
      </c>
      <c r="F1030" s="8">
        <v>0.18</v>
      </c>
      <c r="G1030" s="4">
        <v>19</v>
      </c>
      <c r="H1030" s="8">
        <v>2.73</v>
      </c>
      <c r="I1030" s="4">
        <v>0</v>
      </c>
    </row>
    <row r="1031" spans="1:9" x14ac:dyDescent="0.2">
      <c r="A1031" s="2">
        <v>13</v>
      </c>
      <c r="B1031" s="1" t="s">
        <v>155</v>
      </c>
      <c r="C1031" s="4">
        <v>20</v>
      </c>
      <c r="D1031" s="8">
        <v>1.57</v>
      </c>
      <c r="E1031" s="4">
        <v>6</v>
      </c>
      <c r="F1031" s="8">
        <v>1.05</v>
      </c>
      <c r="G1031" s="4">
        <v>14</v>
      </c>
      <c r="H1031" s="8">
        <v>2.0099999999999998</v>
      </c>
      <c r="I1031" s="4">
        <v>0</v>
      </c>
    </row>
    <row r="1032" spans="1:9" x14ac:dyDescent="0.2">
      <c r="A1032" s="2">
        <v>13</v>
      </c>
      <c r="B1032" s="1" t="s">
        <v>158</v>
      </c>
      <c r="C1032" s="4">
        <v>20</v>
      </c>
      <c r="D1032" s="8">
        <v>1.57</v>
      </c>
      <c r="E1032" s="4">
        <v>10</v>
      </c>
      <c r="F1032" s="8">
        <v>1.75</v>
      </c>
      <c r="G1032" s="4">
        <v>10</v>
      </c>
      <c r="H1032" s="8">
        <v>1.43</v>
      </c>
      <c r="I1032" s="4">
        <v>0</v>
      </c>
    </row>
    <row r="1033" spans="1:9" x14ac:dyDescent="0.2">
      <c r="A1033" s="2">
        <v>13</v>
      </c>
      <c r="B1033" s="1" t="s">
        <v>163</v>
      </c>
      <c r="C1033" s="4">
        <v>20</v>
      </c>
      <c r="D1033" s="8">
        <v>1.57</v>
      </c>
      <c r="E1033" s="4">
        <v>14</v>
      </c>
      <c r="F1033" s="8">
        <v>2.46</v>
      </c>
      <c r="G1033" s="4">
        <v>6</v>
      </c>
      <c r="H1033" s="8">
        <v>0.86</v>
      </c>
      <c r="I1033" s="4">
        <v>0</v>
      </c>
    </row>
    <row r="1034" spans="1:9" x14ac:dyDescent="0.2">
      <c r="A1034" s="2">
        <v>17</v>
      </c>
      <c r="B1034" s="1" t="s">
        <v>201</v>
      </c>
      <c r="C1034" s="4">
        <v>19</v>
      </c>
      <c r="D1034" s="8">
        <v>1.49</v>
      </c>
      <c r="E1034" s="4">
        <v>4</v>
      </c>
      <c r="F1034" s="8">
        <v>0.7</v>
      </c>
      <c r="G1034" s="4">
        <v>15</v>
      </c>
      <c r="H1034" s="8">
        <v>2.15</v>
      </c>
      <c r="I1034" s="4">
        <v>0</v>
      </c>
    </row>
    <row r="1035" spans="1:9" x14ac:dyDescent="0.2">
      <c r="A1035" s="2">
        <v>18</v>
      </c>
      <c r="B1035" s="1" t="s">
        <v>202</v>
      </c>
      <c r="C1035" s="4">
        <v>18</v>
      </c>
      <c r="D1035" s="8">
        <v>1.42</v>
      </c>
      <c r="E1035" s="4">
        <v>4</v>
      </c>
      <c r="F1035" s="8">
        <v>0.7</v>
      </c>
      <c r="G1035" s="4">
        <v>14</v>
      </c>
      <c r="H1035" s="8">
        <v>2.0099999999999998</v>
      </c>
      <c r="I1035" s="4">
        <v>0</v>
      </c>
    </row>
    <row r="1036" spans="1:9" x14ac:dyDescent="0.2">
      <c r="A1036" s="2">
        <v>19</v>
      </c>
      <c r="B1036" s="1" t="s">
        <v>174</v>
      </c>
      <c r="C1036" s="4">
        <v>16</v>
      </c>
      <c r="D1036" s="8">
        <v>1.26</v>
      </c>
      <c r="E1036" s="4">
        <v>1</v>
      </c>
      <c r="F1036" s="8">
        <v>0.18</v>
      </c>
      <c r="G1036" s="4">
        <v>15</v>
      </c>
      <c r="H1036" s="8">
        <v>2.15</v>
      </c>
      <c r="I1036" s="4">
        <v>0</v>
      </c>
    </row>
    <row r="1037" spans="1:9" x14ac:dyDescent="0.2">
      <c r="A1037" s="2">
        <v>20</v>
      </c>
      <c r="B1037" s="1" t="s">
        <v>184</v>
      </c>
      <c r="C1037" s="4">
        <v>15</v>
      </c>
      <c r="D1037" s="8">
        <v>1.18</v>
      </c>
      <c r="E1037" s="4">
        <v>6</v>
      </c>
      <c r="F1037" s="8">
        <v>1.05</v>
      </c>
      <c r="G1037" s="4">
        <v>9</v>
      </c>
      <c r="H1037" s="8">
        <v>1.29</v>
      </c>
      <c r="I1037" s="4">
        <v>0</v>
      </c>
    </row>
    <row r="1038" spans="1:9" x14ac:dyDescent="0.2">
      <c r="A1038" s="2">
        <v>20</v>
      </c>
      <c r="B1038" s="1" t="s">
        <v>197</v>
      </c>
      <c r="C1038" s="4">
        <v>15</v>
      </c>
      <c r="D1038" s="8">
        <v>1.18</v>
      </c>
      <c r="E1038" s="4">
        <v>5</v>
      </c>
      <c r="F1038" s="8">
        <v>0.88</v>
      </c>
      <c r="G1038" s="4">
        <v>10</v>
      </c>
      <c r="H1038" s="8">
        <v>1.43</v>
      </c>
      <c r="I1038" s="4">
        <v>0</v>
      </c>
    </row>
    <row r="1039" spans="1:9" x14ac:dyDescent="0.2">
      <c r="A1039" s="2">
        <v>20</v>
      </c>
      <c r="B1039" s="1" t="s">
        <v>169</v>
      </c>
      <c r="C1039" s="4">
        <v>15</v>
      </c>
      <c r="D1039" s="8">
        <v>1.18</v>
      </c>
      <c r="E1039" s="4">
        <v>13</v>
      </c>
      <c r="F1039" s="8">
        <v>2.2799999999999998</v>
      </c>
      <c r="G1039" s="4">
        <v>2</v>
      </c>
      <c r="H1039" s="8">
        <v>0.28999999999999998</v>
      </c>
      <c r="I1039" s="4">
        <v>0</v>
      </c>
    </row>
    <row r="1040" spans="1:9" x14ac:dyDescent="0.2">
      <c r="A1040" s="1"/>
      <c r="C1040" s="4"/>
      <c r="D1040" s="8"/>
      <c r="E1040" s="4"/>
      <c r="F1040" s="8"/>
      <c r="G1040" s="4"/>
      <c r="H1040" s="8"/>
      <c r="I1040" s="4"/>
    </row>
    <row r="1041" spans="1:9" x14ac:dyDescent="0.2">
      <c r="A1041" s="1" t="s">
        <v>46</v>
      </c>
      <c r="C1041" s="4"/>
      <c r="D1041" s="8"/>
      <c r="E1041" s="4"/>
      <c r="F1041" s="8"/>
      <c r="G1041" s="4"/>
      <c r="H1041" s="8"/>
      <c r="I1041" s="4"/>
    </row>
    <row r="1042" spans="1:9" x14ac:dyDescent="0.2">
      <c r="A1042" s="2">
        <v>1</v>
      </c>
      <c r="B1042" s="1" t="s">
        <v>161</v>
      </c>
      <c r="C1042" s="4">
        <v>88</v>
      </c>
      <c r="D1042" s="8">
        <v>6.37</v>
      </c>
      <c r="E1042" s="4">
        <v>29</v>
      </c>
      <c r="F1042" s="8">
        <v>5.57</v>
      </c>
      <c r="G1042" s="4">
        <v>59</v>
      </c>
      <c r="H1042" s="8">
        <v>6.9</v>
      </c>
      <c r="I1042" s="4">
        <v>0</v>
      </c>
    </row>
    <row r="1043" spans="1:9" x14ac:dyDescent="0.2">
      <c r="A1043" s="2">
        <v>2</v>
      </c>
      <c r="B1043" s="1" t="s">
        <v>168</v>
      </c>
      <c r="C1043" s="4">
        <v>77</v>
      </c>
      <c r="D1043" s="8">
        <v>5.57</v>
      </c>
      <c r="E1043" s="4">
        <v>60</v>
      </c>
      <c r="F1043" s="8">
        <v>11.52</v>
      </c>
      <c r="G1043" s="4">
        <v>17</v>
      </c>
      <c r="H1043" s="8">
        <v>1.99</v>
      </c>
      <c r="I1043" s="4">
        <v>0</v>
      </c>
    </row>
    <row r="1044" spans="1:9" x14ac:dyDescent="0.2">
      <c r="A1044" s="2">
        <v>3</v>
      </c>
      <c r="B1044" s="1" t="s">
        <v>170</v>
      </c>
      <c r="C1044" s="4">
        <v>50</v>
      </c>
      <c r="D1044" s="8">
        <v>3.62</v>
      </c>
      <c r="E1044" s="4">
        <v>35</v>
      </c>
      <c r="F1044" s="8">
        <v>6.72</v>
      </c>
      <c r="G1044" s="4">
        <v>15</v>
      </c>
      <c r="H1044" s="8">
        <v>1.75</v>
      </c>
      <c r="I1044" s="4">
        <v>0</v>
      </c>
    </row>
    <row r="1045" spans="1:9" x14ac:dyDescent="0.2">
      <c r="A1045" s="2">
        <v>4</v>
      </c>
      <c r="B1045" s="1" t="s">
        <v>156</v>
      </c>
      <c r="C1045" s="4">
        <v>42</v>
      </c>
      <c r="D1045" s="8">
        <v>3.04</v>
      </c>
      <c r="E1045" s="4">
        <v>16</v>
      </c>
      <c r="F1045" s="8">
        <v>3.07</v>
      </c>
      <c r="G1045" s="4">
        <v>26</v>
      </c>
      <c r="H1045" s="8">
        <v>3.04</v>
      </c>
      <c r="I1045" s="4">
        <v>0</v>
      </c>
    </row>
    <row r="1046" spans="1:9" x14ac:dyDescent="0.2">
      <c r="A1046" s="2">
        <v>5</v>
      </c>
      <c r="B1046" s="1" t="s">
        <v>171</v>
      </c>
      <c r="C1046" s="4">
        <v>36</v>
      </c>
      <c r="D1046" s="8">
        <v>2.6</v>
      </c>
      <c r="E1046" s="4">
        <v>32</v>
      </c>
      <c r="F1046" s="8">
        <v>6.14</v>
      </c>
      <c r="G1046" s="4">
        <v>4</v>
      </c>
      <c r="H1046" s="8">
        <v>0.47</v>
      </c>
      <c r="I1046" s="4">
        <v>0</v>
      </c>
    </row>
    <row r="1047" spans="1:9" x14ac:dyDescent="0.2">
      <c r="A1047" s="2">
        <v>6</v>
      </c>
      <c r="B1047" s="1" t="s">
        <v>165</v>
      </c>
      <c r="C1047" s="4">
        <v>35</v>
      </c>
      <c r="D1047" s="8">
        <v>2.5299999999999998</v>
      </c>
      <c r="E1047" s="4">
        <v>31</v>
      </c>
      <c r="F1047" s="8">
        <v>5.95</v>
      </c>
      <c r="G1047" s="4">
        <v>4</v>
      </c>
      <c r="H1047" s="8">
        <v>0.47</v>
      </c>
      <c r="I1047" s="4">
        <v>0</v>
      </c>
    </row>
    <row r="1048" spans="1:9" x14ac:dyDescent="0.2">
      <c r="A1048" s="2">
        <v>7</v>
      </c>
      <c r="B1048" s="1" t="s">
        <v>153</v>
      </c>
      <c r="C1048" s="4">
        <v>28</v>
      </c>
      <c r="D1048" s="8">
        <v>2.0299999999999998</v>
      </c>
      <c r="E1048" s="4">
        <v>0</v>
      </c>
      <c r="F1048" s="8">
        <v>0</v>
      </c>
      <c r="G1048" s="4">
        <v>28</v>
      </c>
      <c r="H1048" s="8">
        <v>3.27</v>
      </c>
      <c r="I1048" s="4">
        <v>0</v>
      </c>
    </row>
    <row r="1049" spans="1:9" x14ac:dyDescent="0.2">
      <c r="A1049" s="2">
        <v>7</v>
      </c>
      <c r="B1049" s="1" t="s">
        <v>169</v>
      </c>
      <c r="C1049" s="4">
        <v>28</v>
      </c>
      <c r="D1049" s="8">
        <v>2.0299999999999998</v>
      </c>
      <c r="E1049" s="4">
        <v>14</v>
      </c>
      <c r="F1049" s="8">
        <v>2.69</v>
      </c>
      <c r="G1049" s="4">
        <v>14</v>
      </c>
      <c r="H1049" s="8">
        <v>1.64</v>
      </c>
      <c r="I1049" s="4">
        <v>0</v>
      </c>
    </row>
    <row r="1050" spans="1:9" x14ac:dyDescent="0.2">
      <c r="A1050" s="2">
        <v>9</v>
      </c>
      <c r="B1050" s="1" t="s">
        <v>167</v>
      </c>
      <c r="C1050" s="4">
        <v>25</v>
      </c>
      <c r="D1050" s="8">
        <v>1.81</v>
      </c>
      <c r="E1050" s="4">
        <v>25</v>
      </c>
      <c r="F1050" s="8">
        <v>4.8</v>
      </c>
      <c r="G1050" s="4">
        <v>0</v>
      </c>
      <c r="H1050" s="8">
        <v>0</v>
      </c>
      <c r="I1050" s="4">
        <v>0</v>
      </c>
    </row>
    <row r="1051" spans="1:9" x14ac:dyDescent="0.2">
      <c r="A1051" s="2">
        <v>10</v>
      </c>
      <c r="B1051" s="1" t="s">
        <v>152</v>
      </c>
      <c r="C1051" s="4">
        <v>24</v>
      </c>
      <c r="D1051" s="8">
        <v>1.74</v>
      </c>
      <c r="E1051" s="4">
        <v>4</v>
      </c>
      <c r="F1051" s="8">
        <v>0.77</v>
      </c>
      <c r="G1051" s="4">
        <v>19</v>
      </c>
      <c r="H1051" s="8">
        <v>2.2200000000000002</v>
      </c>
      <c r="I1051" s="4">
        <v>1</v>
      </c>
    </row>
    <row r="1052" spans="1:9" x14ac:dyDescent="0.2">
      <c r="A1052" s="2">
        <v>10</v>
      </c>
      <c r="B1052" s="1" t="s">
        <v>155</v>
      </c>
      <c r="C1052" s="4">
        <v>24</v>
      </c>
      <c r="D1052" s="8">
        <v>1.74</v>
      </c>
      <c r="E1052" s="4">
        <v>5</v>
      </c>
      <c r="F1052" s="8">
        <v>0.96</v>
      </c>
      <c r="G1052" s="4">
        <v>19</v>
      </c>
      <c r="H1052" s="8">
        <v>2.2200000000000002</v>
      </c>
      <c r="I1052" s="4">
        <v>0</v>
      </c>
    </row>
    <row r="1053" spans="1:9" x14ac:dyDescent="0.2">
      <c r="A1053" s="2">
        <v>10</v>
      </c>
      <c r="B1053" s="1" t="s">
        <v>157</v>
      </c>
      <c r="C1053" s="4">
        <v>24</v>
      </c>
      <c r="D1053" s="8">
        <v>1.74</v>
      </c>
      <c r="E1053" s="4">
        <v>10</v>
      </c>
      <c r="F1053" s="8">
        <v>1.92</v>
      </c>
      <c r="G1053" s="4">
        <v>14</v>
      </c>
      <c r="H1053" s="8">
        <v>1.64</v>
      </c>
      <c r="I1053" s="4">
        <v>0</v>
      </c>
    </row>
    <row r="1054" spans="1:9" x14ac:dyDescent="0.2">
      <c r="A1054" s="2">
        <v>13</v>
      </c>
      <c r="B1054" s="1" t="s">
        <v>203</v>
      </c>
      <c r="C1054" s="4">
        <v>21</v>
      </c>
      <c r="D1054" s="8">
        <v>1.52</v>
      </c>
      <c r="E1054" s="4">
        <v>0</v>
      </c>
      <c r="F1054" s="8">
        <v>0</v>
      </c>
      <c r="G1054" s="4">
        <v>21</v>
      </c>
      <c r="H1054" s="8">
        <v>2.46</v>
      </c>
      <c r="I1054" s="4">
        <v>0</v>
      </c>
    </row>
    <row r="1055" spans="1:9" x14ac:dyDescent="0.2">
      <c r="A1055" s="2">
        <v>13</v>
      </c>
      <c r="B1055" s="1" t="s">
        <v>159</v>
      </c>
      <c r="C1055" s="4">
        <v>21</v>
      </c>
      <c r="D1055" s="8">
        <v>1.52</v>
      </c>
      <c r="E1055" s="4">
        <v>2</v>
      </c>
      <c r="F1055" s="8">
        <v>0.38</v>
      </c>
      <c r="G1055" s="4">
        <v>19</v>
      </c>
      <c r="H1055" s="8">
        <v>2.2200000000000002</v>
      </c>
      <c r="I1055" s="4">
        <v>0</v>
      </c>
    </row>
    <row r="1056" spans="1:9" x14ac:dyDescent="0.2">
      <c r="A1056" s="2">
        <v>15</v>
      </c>
      <c r="B1056" s="1" t="s">
        <v>205</v>
      </c>
      <c r="C1056" s="4">
        <v>20</v>
      </c>
      <c r="D1056" s="8">
        <v>1.45</v>
      </c>
      <c r="E1056" s="4">
        <v>3</v>
      </c>
      <c r="F1056" s="8">
        <v>0.57999999999999996</v>
      </c>
      <c r="G1056" s="4">
        <v>17</v>
      </c>
      <c r="H1056" s="8">
        <v>1.99</v>
      </c>
      <c r="I1056" s="4">
        <v>0</v>
      </c>
    </row>
    <row r="1057" spans="1:9" x14ac:dyDescent="0.2">
      <c r="A1057" s="2">
        <v>15</v>
      </c>
      <c r="B1057" s="1" t="s">
        <v>160</v>
      </c>
      <c r="C1057" s="4">
        <v>20</v>
      </c>
      <c r="D1057" s="8">
        <v>1.45</v>
      </c>
      <c r="E1057" s="4">
        <v>3</v>
      </c>
      <c r="F1057" s="8">
        <v>0.57999999999999996</v>
      </c>
      <c r="G1057" s="4">
        <v>17</v>
      </c>
      <c r="H1057" s="8">
        <v>1.99</v>
      </c>
      <c r="I1057" s="4">
        <v>0</v>
      </c>
    </row>
    <row r="1058" spans="1:9" x14ac:dyDescent="0.2">
      <c r="A1058" s="2">
        <v>15</v>
      </c>
      <c r="B1058" s="1" t="s">
        <v>174</v>
      </c>
      <c r="C1058" s="4">
        <v>20</v>
      </c>
      <c r="D1058" s="8">
        <v>1.45</v>
      </c>
      <c r="E1058" s="4">
        <v>0</v>
      </c>
      <c r="F1058" s="8">
        <v>0</v>
      </c>
      <c r="G1058" s="4">
        <v>20</v>
      </c>
      <c r="H1058" s="8">
        <v>2.34</v>
      </c>
      <c r="I1058" s="4">
        <v>0</v>
      </c>
    </row>
    <row r="1059" spans="1:9" x14ac:dyDescent="0.2">
      <c r="A1059" s="2">
        <v>18</v>
      </c>
      <c r="B1059" s="1" t="s">
        <v>166</v>
      </c>
      <c r="C1059" s="4">
        <v>19</v>
      </c>
      <c r="D1059" s="8">
        <v>1.37</v>
      </c>
      <c r="E1059" s="4">
        <v>8</v>
      </c>
      <c r="F1059" s="8">
        <v>1.54</v>
      </c>
      <c r="G1059" s="4">
        <v>11</v>
      </c>
      <c r="H1059" s="8">
        <v>1.29</v>
      </c>
      <c r="I1059" s="4">
        <v>0</v>
      </c>
    </row>
    <row r="1060" spans="1:9" x14ac:dyDescent="0.2">
      <c r="A1060" s="2">
        <v>18</v>
      </c>
      <c r="B1060" s="1" t="s">
        <v>188</v>
      </c>
      <c r="C1060" s="4">
        <v>19</v>
      </c>
      <c r="D1060" s="8">
        <v>1.37</v>
      </c>
      <c r="E1060" s="4">
        <v>8</v>
      </c>
      <c r="F1060" s="8">
        <v>1.54</v>
      </c>
      <c r="G1060" s="4">
        <v>11</v>
      </c>
      <c r="H1060" s="8">
        <v>1.29</v>
      </c>
      <c r="I1060" s="4">
        <v>0</v>
      </c>
    </row>
    <row r="1061" spans="1:9" x14ac:dyDescent="0.2">
      <c r="A1061" s="2">
        <v>20</v>
      </c>
      <c r="B1061" s="1" t="s">
        <v>184</v>
      </c>
      <c r="C1061" s="4">
        <v>18</v>
      </c>
      <c r="D1061" s="8">
        <v>1.3</v>
      </c>
      <c r="E1061" s="4">
        <v>6</v>
      </c>
      <c r="F1061" s="8">
        <v>1.1499999999999999</v>
      </c>
      <c r="G1061" s="4">
        <v>12</v>
      </c>
      <c r="H1061" s="8">
        <v>1.4</v>
      </c>
      <c r="I1061" s="4">
        <v>0</v>
      </c>
    </row>
    <row r="1062" spans="1:9" x14ac:dyDescent="0.2">
      <c r="A1062" s="1"/>
      <c r="C1062" s="4"/>
      <c r="D1062" s="8"/>
      <c r="E1062" s="4"/>
      <c r="F1062" s="8"/>
      <c r="G1062" s="4"/>
      <c r="H1062" s="8"/>
      <c r="I1062" s="4"/>
    </row>
    <row r="1063" spans="1:9" x14ac:dyDescent="0.2">
      <c r="A1063" s="1" t="s">
        <v>47</v>
      </c>
      <c r="C1063" s="4"/>
      <c r="D1063" s="8"/>
      <c r="E1063" s="4"/>
      <c r="F1063" s="8"/>
      <c r="G1063" s="4"/>
      <c r="H1063" s="8"/>
      <c r="I1063" s="4"/>
    </row>
    <row r="1064" spans="1:9" x14ac:dyDescent="0.2">
      <c r="A1064" s="2">
        <v>1</v>
      </c>
      <c r="B1064" s="1" t="s">
        <v>168</v>
      </c>
      <c r="C1064" s="4">
        <v>76</v>
      </c>
      <c r="D1064" s="8">
        <v>6.19</v>
      </c>
      <c r="E1064" s="4">
        <v>70</v>
      </c>
      <c r="F1064" s="8">
        <v>10.01</v>
      </c>
      <c r="G1064" s="4">
        <v>6</v>
      </c>
      <c r="H1064" s="8">
        <v>1.2</v>
      </c>
      <c r="I1064" s="4">
        <v>0</v>
      </c>
    </row>
    <row r="1065" spans="1:9" x14ac:dyDescent="0.2">
      <c r="A1065" s="2">
        <v>2</v>
      </c>
      <c r="B1065" s="1" t="s">
        <v>167</v>
      </c>
      <c r="C1065" s="4">
        <v>48</v>
      </c>
      <c r="D1065" s="8">
        <v>3.91</v>
      </c>
      <c r="E1065" s="4">
        <v>48</v>
      </c>
      <c r="F1065" s="8">
        <v>6.87</v>
      </c>
      <c r="G1065" s="4">
        <v>0</v>
      </c>
      <c r="H1065" s="8">
        <v>0</v>
      </c>
      <c r="I1065" s="4">
        <v>0</v>
      </c>
    </row>
    <row r="1066" spans="1:9" x14ac:dyDescent="0.2">
      <c r="A1066" s="2">
        <v>3</v>
      </c>
      <c r="B1066" s="1" t="s">
        <v>165</v>
      </c>
      <c r="C1066" s="4">
        <v>40</v>
      </c>
      <c r="D1066" s="8">
        <v>3.26</v>
      </c>
      <c r="E1066" s="4">
        <v>36</v>
      </c>
      <c r="F1066" s="8">
        <v>5.15</v>
      </c>
      <c r="G1066" s="4">
        <v>4</v>
      </c>
      <c r="H1066" s="8">
        <v>0.8</v>
      </c>
      <c r="I1066" s="4">
        <v>0</v>
      </c>
    </row>
    <row r="1067" spans="1:9" x14ac:dyDescent="0.2">
      <c r="A1067" s="2">
        <v>4</v>
      </c>
      <c r="B1067" s="1" t="s">
        <v>186</v>
      </c>
      <c r="C1067" s="4">
        <v>35</v>
      </c>
      <c r="D1067" s="8">
        <v>2.85</v>
      </c>
      <c r="E1067" s="4">
        <v>21</v>
      </c>
      <c r="F1067" s="8">
        <v>3</v>
      </c>
      <c r="G1067" s="4">
        <v>14</v>
      </c>
      <c r="H1067" s="8">
        <v>2.8</v>
      </c>
      <c r="I1067" s="4">
        <v>0</v>
      </c>
    </row>
    <row r="1068" spans="1:9" x14ac:dyDescent="0.2">
      <c r="A1068" s="2">
        <v>5</v>
      </c>
      <c r="B1068" s="1" t="s">
        <v>156</v>
      </c>
      <c r="C1068" s="4">
        <v>32</v>
      </c>
      <c r="D1068" s="8">
        <v>2.61</v>
      </c>
      <c r="E1068" s="4">
        <v>26</v>
      </c>
      <c r="F1068" s="8">
        <v>3.72</v>
      </c>
      <c r="G1068" s="4">
        <v>6</v>
      </c>
      <c r="H1068" s="8">
        <v>1.2</v>
      </c>
      <c r="I1068" s="4">
        <v>0</v>
      </c>
    </row>
    <row r="1069" spans="1:9" x14ac:dyDescent="0.2">
      <c r="A1069" s="2">
        <v>6</v>
      </c>
      <c r="B1069" s="1" t="s">
        <v>152</v>
      </c>
      <c r="C1069" s="4">
        <v>31</v>
      </c>
      <c r="D1069" s="8">
        <v>2.52</v>
      </c>
      <c r="E1069" s="4">
        <v>7</v>
      </c>
      <c r="F1069" s="8">
        <v>1</v>
      </c>
      <c r="G1069" s="4">
        <v>24</v>
      </c>
      <c r="H1069" s="8">
        <v>4.8</v>
      </c>
      <c r="I1069" s="4">
        <v>0</v>
      </c>
    </row>
    <row r="1070" spans="1:9" x14ac:dyDescent="0.2">
      <c r="A1070" s="2">
        <v>7</v>
      </c>
      <c r="B1070" s="1" t="s">
        <v>170</v>
      </c>
      <c r="C1070" s="4">
        <v>30</v>
      </c>
      <c r="D1070" s="8">
        <v>2.44</v>
      </c>
      <c r="E1070" s="4">
        <v>26</v>
      </c>
      <c r="F1070" s="8">
        <v>3.72</v>
      </c>
      <c r="G1070" s="4">
        <v>4</v>
      </c>
      <c r="H1070" s="8">
        <v>0.8</v>
      </c>
      <c r="I1070" s="4">
        <v>0</v>
      </c>
    </row>
    <row r="1071" spans="1:9" x14ac:dyDescent="0.2">
      <c r="A1071" s="2">
        <v>8</v>
      </c>
      <c r="B1071" s="1" t="s">
        <v>153</v>
      </c>
      <c r="C1071" s="4">
        <v>29</v>
      </c>
      <c r="D1071" s="8">
        <v>2.36</v>
      </c>
      <c r="E1071" s="4">
        <v>10</v>
      </c>
      <c r="F1071" s="8">
        <v>1.43</v>
      </c>
      <c r="G1071" s="4">
        <v>19</v>
      </c>
      <c r="H1071" s="8">
        <v>3.8</v>
      </c>
      <c r="I1071" s="4">
        <v>0</v>
      </c>
    </row>
    <row r="1072" spans="1:9" x14ac:dyDescent="0.2">
      <c r="A1072" s="2">
        <v>9</v>
      </c>
      <c r="B1072" s="1" t="s">
        <v>205</v>
      </c>
      <c r="C1072" s="4">
        <v>28</v>
      </c>
      <c r="D1072" s="8">
        <v>2.2799999999999998</v>
      </c>
      <c r="E1072" s="4">
        <v>10</v>
      </c>
      <c r="F1072" s="8">
        <v>1.43</v>
      </c>
      <c r="G1072" s="4">
        <v>18</v>
      </c>
      <c r="H1072" s="8">
        <v>3.6</v>
      </c>
      <c r="I1072" s="4">
        <v>0</v>
      </c>
    </row>
    <row r="1073" spans="1:9" x14ac:dyDescent="0.2">
      <c r="A1073" s="2">
        <v>9</v>
      </c>
      <c r="B1073" s="1" t="s">
        <v>163</v>
      </c>
      <c r="C1073" s="4">
        <v>28</v>
      </c>
      <c r="D1073" s="8">
        <v>2.2799999999999998</v>
      </c>
      <c r="E1073" s="4">
        <v>23</v>
      </c>
      <c r="F1073" s="8">
        <v>3.29</v>
      </c>
      <c r="G1073" s="4">
        <v>5</v>
      </c>
      <c r="H1073" s="8">
        <v>1</v>
      </c>
      <c r="I1073" s="4">
        <v>0</v>
      </c>
    </row>
    <row r="1074" spans="1:9" x14ac:dyDescent="0.2">
      <c r="A1074" s="2">
        <v>9</v>
      </c>
      <c r="B1074" s="1" t="s">
        <v>164</v>
      </c>
      <c r="C1074" s="4">
        <v>28</v>
      </c>
      <c r="D1074" s="8">
        <v>2.2799999999999998</v>
      </c>
      <c r="E1074" s="4">
        <v>23</v>
      </c>
      <c r="F1074" s="8">
        <v>3.29</v>
      </c>
      <c r="G1074" s="4">
        <v>5</v>
      </c>
      <c r="H1074" s="8">
        <v>1</v>
      </c>
      <c r="I1074" s="4">
        <v>0</v>
      </c>
    </row>
    <row r="1075" spans="1:9" x14ac:dyDescent="0.2">
      <c r="A1075" s="2">
        <v>12</v>
      </c>
      <c r="B1075" s="1" t="s">
        <v>218</v>
      </c>
      <c r="C1075" s="4">
        <v>25</v>
      </c>
      <c r="D1075" s="8">
        <v>2.04</v>
      </c>
      <c r="E1075" s="4">
        <v>8</v>
      </c>
      <c r="F1075" s="8">
        <v>1.1399999999999999</v>
      </c>
      <c r="G1075" s="4">
        <v>17</v>
      </c>
      <c r="H1075" s="8">
        <v>3.4</v>
      </c>
      <c r="I1075" s="4">
        <v>0</v>
      </c>
    </row>
    <row r="1076" spans="1:9" x14ac:dyDescent="0.2">
      <c r="A1076" s="2">
        <v>13</v>
      </c>
      <c r="B1076" s="1" t="s">
        <v>171</v>
      </c>
      <c r="C1076" s="4">
        <v>24</v>
      </c>
      <c r="D1076" s="8">
        <v>1.95</v>
      </c>
      <c r="E1076" s="4">
        <v>23</v>
      </c>
      <c r="F1076" s="8">
        <v>3.29</v>
      </c>
      <c r="G1076" s="4">
        <v>1</v>
      </c>
      <c r="H1076" s="8">
        <v>0.2</v>
      </c>
      <c r="I1076" s="4">
        <v>0</v>
      </c>
    </row>
    <row r="1077" spans="1:9" x14ac:dyDescent="0.2">
      <c r="A1077" s="2">
        <v>14</v>
      </c>
      <c r="B1077" s="1" t="s">
        <v>198</v>
      </c>
      <c r="C1077" s="4">
        <v>22</v>
      </c>
      <c r="D1077" s="8">
        <v>1.79</v>
      </c>
      <c r="E1077" s="4">
        <v>12</v>
      </c>
      <c r="F1077" s="8">
        <v>1.72</v>
      </c>
      <c r="G1077" s="4">
        <v>10</v>
      </c>
      <c r="H1077" s="8">
        <v>2</v>
      </c>
      <c r="I1077" s="4">
        <v>0</v>
      </c>
    </row>
    <row r="1078" spans="1:9" x14ac:dyDescent="0.2">
      <c r="A1078" s="2">
        <v>15</v>
      </c>
      <c r="B1078" s="1" t="s">
        <v>210</v>
      </c>
      <c r="C1078" s="4">
        <v>21</v>
      </c>
      <c r="D1078" s="8">
        <v>1.71</v>
      </c>
      <c r="E1078" s="4">
        <v>15</v>
      </c>
      <c r="F1078" s="8">
        <v>2.15</v>
      </c>
      <c r="G1078" s="4">
        <v>6</v>
      </c>
      <c r="H1078" s="8">
        <v>1.2</v>
      </c>
      <c r="I1078" s="4">
        <v>0</v>
      </c>
    </row>
    <row r="1079" spans="1:9" x14ac:dyDescent="0.2">
      <c r="A1079" s="2">
        <v>15</v>
      </c>
      <c r="B1079" s="1" t="s">
        <v>222</v>
      </c>
      <c r="C1079" s="4">
        <v>21</v>
      </c>
      <c r="D1079" s="8">
        <v>1.71</v>
      </c>
      <c r="E1079" s="4">
        <v>15</v>
      </c>
      <c r="F1079" s="8">
        <v>2.15</v>
      </c>
      <c r="G1079" s="4">
        <v>6</v>
      </c>
      <c r="H1079" s="8">
        <v>1.2</v>
      </c>
      <c r="I1079" s="4">
        <v>0</v>
      </c>
    </row>
    <row r="1080" spans="1:9" x14ac:dyDescent="0.2">
      <c r="A1080" s="2">
        <v>15</v>
      </c>
      <c r="B1080" s="1" t="s">
        <v>223</v>
      </c>
      <c r="C1080" s="4">
        <v>21</v>
      </c>
      <c r="D1080" s="8">
        <v>1.71</v>
      </c>
      <c r="E1080" s="4">
        <v>0</v>
      </c>
      <c r="F1080" s="8">
        <v>0</v>
      </c>
      <c r="G1080" s="4">
        <v>1</v>
      </c>
      <c r="H1080" s="8">
        <v>0.2</v>
      </c>
      <c r="I1080" s="4">
        <v>0</v>
      </c>
    </row>
    <row r="1081" spans="1:9" x14ac:dyDescent="0.2">
      <c r="A1081" s="2">
        <v>18</v>
      </c>
      <c r="B1081" s="1" t="s">
        <v>158</v>
      </c>
      <c r="C1081" s="4">
        <v>20</v>
      </c>
      <c r="D1081" s="8">
        <v>1.63</v>
      </c>
      <c r="E1081" s="4">
        <v>14</v>
      </c>
      <c r="F1081" s="8">
        <v>2</v>
      </c>
      <c r="G1081" s="4">
        <v>6</v>
      </c>
      <c r="H1081" s="8">
        <v>1.2</v>
      </c>
      <c r="I1081" s="4">
        <v>0</v>
      </c>
    </row>
    <row r="1082" spans="1:9" x14ac:dyDescent="0.2">
      <c r="A1082" s="2">
        <v>19</v>
      </c>
      <c r="B1082" s="1" t="s">
        <v>191</v>
      </c>
      <c r="C1082" s="4">
        <v>18</v>
      </c>
      <c r="D1082" s="8">
        <v>1.47</v>
      </c>
      <c r="E1082" s="4">
        <v>11</v>
      </c>
      <c r="F1082" s="8">
        <v>1.57</v>
      </c>
      <c r="G1082" s="4">
        <v>7</v>
      </c>
      <c r="H1082" s="8">
        <v>1.4</v>
      </c>
      <c r="I1082" s="4">
        <v>0</v>
      </c>
    </row>
    <row r="1083" spans="1:9" x14ac:dyDescent="0.2">
      <c r="A1083" s="2">
        <v>19</v>
      </c>
      <c r="B1083" s="1" t="s">
        <v>157</v>
      </c>
      <c r="C1083" s="4">
        <v>18</v>
      </c>
      <c r="D1083" s="8">
        <v>1.47</v>
      </c>
      <c r="E1083" s="4">
        <v>8</v>
      </c>
      <c r="F1083" s="8">
        <v>1.1399999999999999</v>
      </c>
      <c r="G1083" s="4">
        <v>10</v>
      </c>
      <c r="H1083" s="8">
        <v>2</v>
      </c>
      <c r="I1083" s="4">
        <v>0</v>
      </c>
    </row>
    <row r="1084" spans="1:9" x14ac:dyDescent="0.2">
      <c r="A1084" s="1"/>
      <c r="C1084" s="4"/>
      <c r="D1084" s="8"/>
      <c r="E1084" s="4"/>
      <c r="F1084" s="8"/>
      <c r="G1084" s="4"/>
      <c r="H1084" s="8"/>
      <c r="I1084" s="4"/>
    </row>
    <row r="1085" spans="1:9" x14ac:dyDescent="0.2">
      <c r="A1085" s="1" t="s">
        <v>48</v>
      </c>
      <c r="C1085" s="4"/>
      <c r="D1085" s="8"/>
      <c r="E1085" s="4"/>
      <c r="F1085" s="8"/>
      <c r="G1085" s="4"/>
      <c r="H1085" s="8"/>
      <c r="I1085" s="4"/>
    </row>
    <row r="1086" spans="1:9" x14ac:dyDescent="0.2">
      <c r="A1086" s="2">
        <v>1</v>
      </c>
      <c r="B1086" s="1" t="s">
        <v>165</v>
      </c>
      <c r="C1086" s="4">
        <v>47</v>
      </c>
      <c r="D1086" s="8">
        <v>3.93</v>
      </c>
      <c r="E1086" s="4">
        <v>44</v>
      </c>
      <c r="F1086" s="8">
        <v>6.9</v>
      </c>
      <c r="G1086" s="4">
        <v>3</v>
      </c>
      <c r="H1086" s="8">
        <v>0.54</v>
      </c>
      <c r="I1086" s="4">
        <v>0</v>
      </c>
    </row>
    <row r="1087" spans="1:9" x14ac:dyDescent="0.2">
      <c r="A1087" s="2">
        <v>2</v>
      </c>
      <c r="B1087" s="1" t="s">
        <v>168</v>
      </c>
      <c r="C1087" s="4">
        <v>46</v>
      </c>
      <c r="D1087" s="8">
        <v>3.85</v>
      </c>
      <c r="E1087" s="4">
        <v>42</v>
      </c>
      <c r="F1087" s="8">
        <v>6.58</v>
      </c>
      <c r="G1087" s="4">
        <v>4</v>
      </c>
      <c r="H1087" s="8">
        <v>0.72</v>
      </c>
      <c r="I1087" s="4">
        <v>0</v>
      </c>
    </row>
    <row r="1088" spans="1:9" x14ac:dyDescent="0.2">
      <c r="A1088" s="2">
        <v>3</v>
      </c>
      <c r="B1088" s="1" t="s">
        <v>161</v>
      </c>
      <c r="C1088" s="4">
        <v>36</v>
      </c>
      <c r="D1088" s="8">
        <v>3.01</v>
      </c>
      <c r="E1088" s="4">
        <v>24</v>
      </c>
      <c r="F1088" s="8">
        <v>3.76</v>
      </c>
      <c r="G1088" s="4">
        <v>12</v>
      </c>
      <c r="H1088" s="8">
        <v>2.17</v>
      </c>
      <c r="I1088" s="4">
        <v>0</v>
      </c>
    </row>
    <row r="1089" spans="1:9" x14ac:dyDescent="0.2">
      <c r="A1089" s="2">
        <v>4</v>
      </c>
      <c r="B1089" s="1" t="s">
        <v>170</v>
      </c>
      <c r="C1089" s="4">
        <v>32</v>
      </c>
      <c r="D1089" s="8">
        <v>2.68</v>
      </c>
      <c r="E1089" s="4">
        <v>27</v>
      </c>
      <c r="F1089" s="8">
        <v>4.2300000000000004</v>
      </c>
      <c r="G1089" s="4">
        <v>5</v>
      </c>
      <c r="H1089" s="8">
        <v>0.9</v>
      </c>
      <c r="I1089" s="4">
        <v>0</v>
      </c>
    </row>
    <row r="1090" spans="1:9" x14ac:dyDescent="0.2">
      <c r="A1090" s="2">
        <v>5</v>
      </c>
      <c r="B1090" s="1" t="s">
        <v>171</v>
      </c>
      <c r="C1090" s="4">
        <v>31</v>
      </c>
      <c r="D1090" s="8">
        <v>2.59</v>
      </c>
      <c r="E1090" s="4">
        <v>28</v>
      </c>
      <c r="F1090" s="8">
        <v>4.3899999999999997</v>
      </c>
      <c r="G1090" s="4">
        <v>3</v>
      </c>
      <c r="H1090" s="8">
        <v>0.54</v>
      </c>
      <c r="I1090" s="4">
        <v>0</v>
      </c>
    </row>
    <row r="1091" spans="1:9" x14ac:dyDescent="0.2">
      <c r="A1091" s="2">
        <v>6</v>
      </c>
      <c r="B1091" s="1" t="s">
        <v>167</v>
      </c>
      <c r="C1091" s="4">
        <v>27</v>
      </c>
      <c r="D1091" s="8">
        <v>2.2599999999999998</v>
      </c>
      <c r="E1091" s="4">
        <v>27</v>
      </c>
      <c r="F1091" s="8">
        <v>4.2300000000000004</v>
      </c>
      <c r="G1091" s="4">
        <v>0</v>
      </c>
      <c r="H1091" s="8">
        <v>0</v>
      </c>
      <c r="I1091" s="4">
        <v>0</v>
      </c>
    </row>
    <row r="1092" spans="1:9" x14ac:dyDescent="0.2">
      <c r="A1092" s="2">
        <v>7</v>
      </c>
      <c r="B1092" s="1" t="s">
        <v>206</v>
      </c>
      <c r="C1092" s="4">
        <v>25</v>
      </c>
      <c r="D1092" s="8">
        <v>2.09</v>
      </c>
      <c r="E1092" s="4">
        <v>14</v>
      </c>
      <c r="F1092" s="8">
        <v>2.19</v>
      </c>
      <c r="G1092" s="4">
        <v>11</v>
      </c>
      <c r="H1092" s="8">
        <v>1.99</v>
      </c>
      <c r="I1092" s="4">
        <v>0</v>
      </c>
    </row>
    <row r="1093" spans="1:9" x14ac:dyDescent="0.2">
      <c r="A1093" s="2">
        <v>8</v>
      </c>
      <c r="B1093" s="1" t="s">
        <v>188</v>
      </c>
      <c r="C1093" s="4">
        <v>24</v>
      </c>
      <c r="D1093" s="8">
        <v>2.0099999999999998</v>
      </c>
      <c r="E1093" s="4">
        <v>20</v>
      </c>
      <c r="F1093" s="8">
        <v>3.13</v>
      </c>
      <c r="G1093" s="4">
        <v>4</v>
      </c>
      <c r="H1093" s="8">
        <v>0.72</v>
      </c>
      <c r="I1093" s="4">
        <v>0</v>
      </c>
    </row>
    <row r="1094" spans="1:9" x14ac:dyDescent="0.2">
      <c r="A1094" s="2">
        <v>9</v>
      </c>
      <c r="B1094" s="1" t="s">
        <v>154</v>
      </c>
      <c r="C1094" s="4">
        <v>22</v>
      </c>
      <c r="D1094" s="8">
        <v>1.84</v>
      </c>
      <c r="E1094" s="4">
        <v>6</v>
      </c>
      <c r="F1094" s="8">
        <v>0.94</v>
      </c>
      <c r="G1094" s="4">
        <v>16</v>
      </c>
      <c r="H1094" s="8">
        <v>2.89</v>
      </c>
      <c r="I1094" s="4">
        <v>0</v>
      </c>
    </row>
    <row r="1095" spans="1:9" x14ac:dyDescent="0.2">
      <c r="A1095" s="2">
        <v>9</v>
      </c>
      <c r="B1095" s="1" t="s">
        <v>155</v>
      </c>
      <c r="C1095" s="4">
        <v>22</v>
      </c>
      <c r="D1095" s="8">
        <v>1.84</v>
      </c>
      <c r="E1095" s="4">
        <v>10</v>
      </c>
      <c r="F1095" s="8">
        <v>1.57</v>
      </c>
      <c r="G1095" s="4">
        <v>12</v>
      </c>
      <c r="H1095" s="8">
        <v>2.17</v>
      </c>
      <c r="I1095" s="4">
        <v>0</v>
      </c>
    </row>
    <row r="1096" spans="1:9" x14ac:dyDescent="0.2">
      <c r="A1096" s="2">
        <v>11</v>
      </c>
      <c r="B1096" s="1" t="s">
        <v>152</v>
      </c>
      <c r="C1096" s="4">
        <v>21</v>
      </c>
      <c r="D1096" s="8">
        <v>1.76</v>
      </c>
      <c r="E1096" s="4">
        <v>3</v>
      </c>
      <c r="F1096" s="8">
        <v>0.47</v>
      </c>
      <c r="G1096" s="4">
        <v>18</v>
      </c>
      <c r="H1096" s="8">
        <v>3.25</v>
      </c>
      <c r="I1096" s="4">
        <v>0</v>
      </c>
    </row>
    <row r="1097" spans="1:9" x14ac:dyDescent="0.2">
      <c r="A1097" s="2">
        <v>11</v>
      </c>
      <c r="B1097" s="1" t="s">
        <v>156</v>
      </c>
      <c r="C1097" s="4">
        <v>21</v>
      </c>
      <c r="D1097" s="8">
        <v>1.76</v>
      </c>
      <c r="E1097" s="4">
        <v>16</v>
      </c>
      <c r="F1097" s="8">
        <v>2.5099999999999998</v>
      </c>
      <c r="G1097" s="4">
        <v>5</v>
      </c>
      <c r="H1097" s="8">
        <v>0.9</v>
      </c>
      <c r="I1097" s="4">
        <v>0</v>
      </c>
    </row>
    <row r="1098" spans="1:9" x14ac:dyDescent="0.2">
      <c r="A1098" s="2">
        <v>13</v>
      </c>
      <c r="B1098" s="1" t="s">
        <v>163</v>
      </c>
      <c r="C1098" s="4">
        <v>20</v>
      </c>
      <c r="D1098" s="8">
        <v>1.67</v>
      </c>
      <c r="E1098" s="4">
        <v>15</v>
      </c>
      <c r="F1098" s="8">
        <v>2.35</v>
      </c>
      <c r="G1098" s="4">
        <v>5</v>
      </c>
      <c r="H1098" s="8">
        <v>0.9</v>
      </c>
      <c r="I1098" s="4">
        <v>0</v>
      </c>
    </row>
    <row r="1099" spans="1:9" x14ac:dyDescent="0.2">
      <c r="A1099" s="2">
        <v>14</v>
      </c>
      <c r="B1099" s="1" t="s">
        <v>200</v>
      </c>
      <c r="C1099" s="4">
        <v>19</v>
      </c>
      <c r="D1099" s="8">
        <v>1.59</v>
      </c>
      <c r="E1099" s="4">
        <v>8</v>
      </c>
      <c r="F1099" s="8">
        <v>1.25</v>
      </c>
      <c r="G1099" s="4">
        <v>11</v>
      </c>
      <c r="H1099" s="8">
        <v>1.99</v>
      </c>
      <c r="I1099" s="4">
        <v>0</v>
      </c>
    </row>
    <row r="1100" spans="1:9" x14ac:dyDescent="0.2">
      <c r="A1100" s="2">
        <v>15</v>
      </c>
      <c r="B1100" s="1" t="s">
        <v>204</v>
      </c>
      <c r="C1100" s="4">
        <v>17</v>
      </c>
      <c r="D1100" s="8">
        <v>1.42</v>
      </c>
      <c r="E1100" s="4">
        <v>9</v>
      </c>
      <c r="F1100" s="8">
        <v>1.41</v>
      </c>
      <c r="G1100" s="4">
        <v>8</v>
      </c>
      <c r="H1100" s="8">
        <v>1.45</v>
      </c>
      <c r="I1100" s="4">
        <v>0</v>
      </c>
    </row>
    <row r="1101" spans="1:9" x14ac:dyDescent="0.2">
      <c r="A1101" s="2">
        <v>15</v>
      </c>
      <c r="B1101" s="1" t="s">
        <v>166</v>
      </c>
      <c r="C1101" s="4">
        <v>17</v>
      </c>
      <c r="D1101" s="8">
        <v>1.42</v>
      </c>
      <c r="E1101" s="4">
        <v>11</v>
      </c>
      <c r="F1101" s="8">
        <v>1.72</v>
      </c>
      <c r="G1101" s="4">
        <v>6</v>
      </c>
      <c r="H1101" s="8">
        <v>1.08</v>
      </c>
      <c r="I1101" s="4">
        <v>0</v>
      </c>
    </row>
    <row r="1102" spans="1:9" x14ac:dyDescent="0.2">
      <c r="A1102" s="2">
        <v>17</v>
      </c>
      <c r="B1102" s="1" t="s">
        <v>153</v>
      </c>
      <c r="C1102" s="4">
        <v>16</v>
      </c>
      <c r="D1102" s="8">
        <v>1.34</v>
      </c>
      <c r="E1102" s="4">
        <v>5</v>
      </c>
      <c r="F1102" s="8">
        <v>0.78</v>
      </c>
      <c r="G1102" s="4">
        <v>11</v>
      </c>
      <c r="H1102" s="8">
        <v>1.99</v>
      </c>
      <c r="I1102" s="4">
        <v>0</v>
      </c>
    </row>
    <row r="1103" spans="1:9" x14ac:dyDescent="0.2">
      <c r="A1103" s="2">
        <v>17</v>
      </c>
      <c r="B1103" s="1" t="s">
        <v>205</v>
      </c>
      <c r="C1103" s="4">
        <v>16</v>
      </c>
      <c r="D1103" s="8">
        <v>1.34</v>
      </c>
      <c r="E1103" s="4">
        <v>9</v>
      </c>
      <c r="F1103" s="8">
        <v>1.41</v>
      </c>
      <c r="G1103" s="4">
        <v>7</v>
      </c>
      <c r="H1103" s="8">
        <v>1.27</v>
      </c>
      <c r="I1103" s="4">
        <v>0</v>
      </c>
    </row>
    <row r="1104" spans="1:9" x14ac:dyDescent="0.2">
      <c r="A1104" s="2">
        <v>17</v>
      </c>
      <c r="B1104" s="1" t="s">
        <v>196</v>
      </c>
      <c r="C1104" s="4">
        <v>16</v>
      </c>
      <c r="D1104" s="8">
        <v>1.34</v>
      </c>
      <c r="E1104" s="4">
        <v>4</v>
      </c>
      <c r="F1104" s="8">
        <v>0.63</v>
      </c>
      <c r="G1104" s="4">
        <v>12</v>
      </c>
      <c r="H1104" s="8">
        <v>2.17</v>
      </c>
      <c r="I1104" s="4">
        <v>0</v>
      </c>
    </row>
    <row r="1105" spans="1:9" x14ac:dyDescent="0.2">
      <c r="A1105" s="2">
        <v>20</v>
      </c>
      <c r="B1105" s="1" t="s">
        <v>217</v>
      </c>
      <c r="C1105" s="4">
        <v>15</v>
      </c>
      <c r="D1105" s="8">
        <v>1.26</v>
      </c>
      <c r="E1105" s="4">
        <v>8</v>
      </c>
      <c r="F1105" s="8">
        <v>1.25</v>
      </c>
      <c r="G1105" s="4">
        <v>7</v>
      </c>
      <c r="H1105" s="8">
        <v>1.27</v>
      </c>
      <c r="I1105" s="4">
        <v>0</v>
      </c>
    </row>
    <row r="1106" spans="1:9" x14ac:dyDescent="0.2">
      <c r="A1106" s="1"/>
      <c r="C1106" s="4"/>
      <c r="D1106" s="8"/>
      <c r="E1106" s="4"/>
      <c r="F1106" s="8"/>
      <c r="G1106" s="4"/>
      <c r="H1106" s="8"/>
      <c r="I1106" s="4"/>
    </row>
    <row r="1107" spans="1:9" x14ac:dyDescent="0.2">
      <c r="A1107" s="1" t="s">
        <v>49</v>
      </c>
      <c r="C1107" s="4"/>
      <c r="D1107" s="8"/>
      <c r="E1107" s="4"/>
      <c r="F1107" s="8"/>
      <c r="G1107" s="4"/>
      <c r="H1107" s="8"/>
      <c r="I1107" s="4"/>
    </row>
    <row r="1108" spans="1:9" x14ac:dyDescent="0.2">
      <c r="A1108" s="2">
        <v>1</v>
      </c>
      <c r="B1108" s="1" t="s">
        <v>161</v>
      </c>
      <c r="C1108" s="4">
        <v>54</v>
      </c>
      <c r="D1108" s="8">
        <v>3.62</v>
      </c>
      <c r="E1108" s="4">
        <v>16</v>
      </c>
      <c r="F1108" s="8">
        <v>2.59</v>
      </c>
      <c r="G1108" s="4">
        <v>38</v>
      </c>
      <c r="H1108" s="8">
        <v>4.42</v>
      </c>
      <c r="I1108" s="4">
        <v>0</v>
      </c>
    </row>
    <row r="1109" spans="1:9" x14ac:dyDescent="0.2">
      <c r="A1109" s="2">
        <v>2</v>
      </c>
      <c r="B1109" s="1" t="s">
        <v>168</v>
      </c>
      <c r="C1109" s="4">
        <v>51</v>
      </c>
      <c r="D1109" s="8">
        <v>3.42</v>
      </c>
      <c r="E1109" s="4">
        <v>47</v>
      </c>
      <c r="F1109" s="8">
        <v>7.61</v>
      </c>
      <c r="G1109" s="4">
        <v>4</v>
      </c>
      <c r="H1109" s="8">
        <v>0.47</v>
      </c>
      <c r="I1109" s="4">
        <v>0</v>
      </c>
    </row>
    <row r="1110" spans="1:9" x14ac:dyDescent="0.2">
      <c r="A1110" s="2">
        <v>3</v>
      </c>
      <c r="B1110" s="1" t="s">
        <v>165</v>
      </c>
      <c r="C1110" s="4">
        <v>46</v>
      </c>
      <c r="D1110" s="8">
        <v>3.09</v>
      </c>
      <c r="E1110" s="4">
        <v>45</v>
      </c>
      <c r="F1110" s="8">
        <v>7.28</v>
      </c>
      <c r="G1110" s="4">
        <v>1</v>
      </c>
      <c r="H1110" s="8">
        <v>0.12</v>
      </c>
      <c r="I1110" s="4">
        <v>0</v>
      </c>
    </row>
    <row r="1111" spans="1:9" x14ac:dyDescent="0.2">
      <c r="A1111" s="2">
        <v>4</v>
      </c>
      <c r="B1111" s="1" t="s">
        <v>154</v>
      </c>
      <c r="C1111" s="4">
        <v>38</v>
      </c>
      <c r="D1111" s="8">
        <v>2.5499999999999998</v>
      </c>
      <c r="E1111" s="4">
        <v>10</v>
      </c>
      <c r="F1111" s="8">
        <v>1.62</v>
      </c>
      <c r="G1111" s="4">
        <v>28</v>
      </c>
      <c r="H1111" s="8">
        <v>3.26</v>
      </c>
      <c r="I1111" s="4">
        <v>0</v>
      </c>
    </row>
    <row r="1112" spans="1:9" x14ac:dyDescent="0.2">
      <c r="A1112" s="2">
        <v>5</v>
      </c>
      <c r="B1112" s="1" t="s">
        <v>167</v>
      </c>
      <c r="C1112" s="4">
        <v>36</v>
      </c>
      <c r="D1112" s="8">
        <v>2.42</v>
      </c>
      <c r="E1112" s="4">
        <v>35</v>
      </c>
      <c r="F1112" s="8">
        <v>5.66</v>
      </c>
      <c r="G1112" s="4">
        <v>1</v>
      </c>
      <c r="H1112" s="8">
        <v>0.12</v>
      </c>
      <c r="I1112" s="4">
        <v>0</v>
      </c>
    </row>
    <row r="1113" spans="1:9" x14ac:dyDescent="0.2">
      <c r="A1113" s="2">
        <v>6</v>
      </c>
      <c r="B1113" s="1" t="s">
        <v>156</v>
      </c>
      <c r="C1113" s="4">
        <v>31</v>
      </c>
      <c r="D1113" s="8">
        <v>2.08</v>
      </c>
      <c r="E1113" s="4">
        <v>17</v>
      </c>
      <c r="F1113" s="8">
        <v>2.75</v>
      </c>
      <c r="G1113" s="4">
        <v>14</v>
      </c>
      <c r="H1113" s="8">
        <v>1.63</v>
      </c>
      <c r="I1113" s="4">
        <v>0</v>
      </c>
    </row>
    <row r="1114" spans="1:9" x14ac:dyDescent="0.2">
      <c r="A1114" s="2">
        <v>6</v>
      </c>
      <c r="B1114" s="1" t="s">
        <v>163</v>
      </c>
      <c r="C1114" s="4">
        <v>31</v>
      </c>
      <c r="D1114" s="8">
        <v>2.08</v>
      </c>
      <c r="E1114" s="4">
        <v>21</v>
      </c>
      <c r="F1114" s="8">
        <v>3.4</v>
      </c>
      <c r="G1114" s="4">
        <v>10</v>
      </c>
      <c r="H1114" s="8">
        <v>1.1599999999999999</v>
      </c>
      <c r="I1114" s="4">
        <v>0</v>
      </c>
    </row>
    <row r="1115" spans="1:9" x14ac:dyDescent="0.2">
      <c r="A1115" s="2">
        <v>6</v>
      </c>
      <c r="B1115" s="1" t="s">
        <v>171</v>
      </c>
      <c r="C1115" s="4">
        <v>31</v>
      </c>
      <c r="D1115" s="8">
        <v>2.08</v>
      </c>
      <c r="E1115" s="4">
        <v>29</v>
      </c>
      <c r="F1115" s="8">
        <v>4.6900000000000004</v>
      </c>
      <c r="G1115" s="4">
        <v>2</v>
      </c>
      <c r="H1115" s="8">
        <v>0.23</v>
      </c>
      <c r="I1115" s="4">
        <v>0</v>
      </c>
    </row>
    <row r="1116" spans="1:9" x14ac:dyDescent="0.2">
      <c r="A1116" s="2">
        <v>9</v>
      </c>
      <c r="B1116" s="1" t="s">
        <v>170</v>
      </c>
      <c r="C1116" s="4">
        <v>30</v>
      </c>
      <c r="D1116" s="8">
        <v>2.0099999999999998</v>
      </c>
      <c r="E1116" s="4">
        <v>25</v>
      </c>
      <c r="F1116" s="8">
        <v>4.05</v>
      </c>
      <c r="G1116" s="4">
        <v>4</v>
      </c>
      <c r="H1116" s="8">
        <v>0.47</v>
      </c>
      <c r="I1116" s="4">
        <v>1</v>
      </c>
    </row>
    <row r="1117" spans="1:9" x14ac:dyDescent="0.2">
      <c r="A1117" s="2">
        <v>10</v>
      </c>
      <c r="B1117" s="1" t="s">
        <v>155</v>
      </c>
      <c r="C1117" s="4">
        <v>27</v>
      </c>
      <c r="D1117" s="8">
        <v>1.81</v>
      </c>
      <c r="E1117" s="4">
        <v>4</v>
      </c>
      <c r="F1117" s="8">
        <v>0.65</v>
      </c>
      <c r="G1117" s="4">
        <v>23</v>
      </c>
      <c r="H1117" s="8">
        <v>2.68</v>
      </c>
      <c r="I1117" s="4">
        <v>0</v>
      </c>
    </row>
    <row r="1118" spans="1:9" x14ac:dyDescent="0.2">
      <c r="A1118" s="2">
        <v>11</v>
      </c>
      <c r="B1118" s="1" t="s">
        <v>158</v>
      </c>
      <c r="C1118" s="4">
        <v>25</v>
      </c>
      <c r="D1118" s="8">
        <v>1.68</v>
      </c>
      <c r="E1118" s="4">
        <v>20</v>
      </c>
      <c r="F1118" s="8">
        <v>3.24</v>
      </c>
      <c r="G1118" s="4">
        <v>5</v>
      </c>
      <c r="H1118" s="8">
        <v>0.57999999999999996</v>
      </c>
      <c r="I1118" s="4">
        <v>0</v>
      </c>
    </row>
    <row r="1119" spans="1:9" x14ac:dyDescent="0.2">
      <c r="A1119" s="2">
        <v>12</v>
      </c>
      <c r="B1119" s="1" t="s">
        <v>188</v>
      </c>
      <c r="C1119" s="4">
        <v>24</v>
      </c>
      <c r="D1119" s="8">
        <v>1.61</v>
      </c>
      <c r="E1119" s="4">
        <v>11</v>
      </c>
      <c r="F1119" s="8">
        <v>1.78</v>
      </c>
      <c r="G1119" s="4">
        <v>13</v>
      </c>
      <c r="H1119" s="8">
        <v>1.51</v>
      </c>
      <c r="I1119" s="4">
        <v>0</v>
      </c>
    </row>
    <row r="1120" spans="1:9" x14ac:dyDescent="0.2">
      <c r="A1120" s="2">
        <v>13</v>
      </c>
      <c r="B1120" s="1" t="s">
        <v>159</v>
      </c>
      <c r="C1120" s="4">
        <v>20</v>
      </c>
      <c r="D1120" s="8">
        <v>1.34</v>
      </c>
      <c r="E1120" s="4">
        <v>7</v>
      </c>
      <c r="F1120" s="8">
        <v>1.1299999999999999</v>
      </c>
      <c r="G1120" s="4">
        <v>13</v>
      </c>
      <c r="H1120" s="8">
        <v>1.51</v>
      </c>
      <c r="I1120" s="4">
        <v>0</v>
      </c>
    </row>
    <row r="1121" spans="1:9" x14ac:dyDescent="0.2">
      <c r="A1121" s="2">
        <v>13</v>
      </c>
      <c r="B1121" s="1" t="s">
        <v>160</v>
      </c>
      <c r="C1121" s="4">
        <v>20</v>
      </c>
      <c r="D1121" s="8">
        <v>1.34</v>
      </c>
      <c r="E1121" s="4">
        <v>1</v>
      </c>
      <c r="F1121" s="8">
        <v>0.16</v>
      </c>
      <c r="G1121" s="4">
        <v>19</v>
      </c>
      <c r="H1121" s="8">
        <v>2.21</v>
      </c>
      <c r="I1121" s="4">
        <v>0</v>
      </c>
    </row>
    <row r="1122" spans="1:9" x14ac:dyDescent="0.2">
      <c r="A1122" s="2">
        <v>15</v>
      </c>
      <c r="B1122" s="1" t="s">
        <v>153</v>
      </c>
      <c r="C1122" s="4">
        <v>19</v>
      </c>
      <c r="D1122" s="8">
        <v>1.28</v>
      </c>
      <c r="E1122" s="4">
        <v>1</v>
      </c>
      <c r="F1122" s="8">
        <v>0.16</v>
      </c>
      <c r="G1122" s="4">
        <v>18</v>
      </c>
      <c r="H1122" s="8">
        <v>2.1</v>
      </c>
      <c r="I1122" s="4">
        <v>0</v>
      </c>
    </row>
    <row r="1123" spans="1:9" x14ac:dyDescent="0.2">
      <c r="A1123" s="2">
        <v>15</v>
      </c>
      <c r="B1123" s="1" t="s">
        <v>203</v>
      </c>
      <c r="C1123" s="4">
        <v>19</v>
      </c>
      <c r="D1123" s="8">
        <v>1.28</v>
      </c>
      <c r="E1123" s="4">
        <v>2</v>
      </c>
      <c r="F1123" s="8">
        <v>0.32</v>
      </c>
      <c r="G1123" s="4">
        <v>17</v>
      </c>
      <c r="H1123" s="8">
        <v>1.98</v>
      </c>
      <c r="I1123" s="4">
        <v>0</v>
      </c>
    </row>
    <row r="1124" spans="1:9" x14ac:dyDescent="0.2">
      <c r="A1124" s="2">
        <v>15</v>
      </c>
      <c r="B1124" s="1" t="s">
        <v>174</v>
      </c>
      <c r="C1124" s="4">
        <v>19</v>
      </c>
      <c r="D1124" s="8">
        <v>1.28</v>
      </c>
      <c r="E1124" s="4">
        <v>0</v>
      </c>
      <c r="F1124" s="8">
        <v>0</v>
      </c>
      <c r="G1124" s="4">
        <v>19</v>
      </c>
      <c r="H1124" s="8">
        <v>2.21</v>
      </c>
      <c r="I1124" s="4">
        <v>0</v>
      </c>
    </row>
    <row r="1125" spans="1:9" x14ac:dyDescent="0.2">
      <c r="A1125" s="2">
        <v>18</v>
      </c>
      <c r="B1125" s="1" t="s">
        <v>172</v>
      </c>
      <c r="C1125" s="4">
        <v>18</v>
      </c>
      <c r="D1125" s="8">
        <v>1.21</v>
      </c>
      <c r="E1125" s="4">
        <v>1</v>
      </c>
      <c r="F1125" s="8">
        <v>0.16</v>
      </c>
      <c r="G1125" s="4">
        <v>17</v>
      </c>
      <c r="H1125" s="8">
        <v>1.98</v>
      </c>
      <c r="I1125" s="4">
        <v>0</v>
      </c>
    </row>
    <row r="1126" spans="1:9" x14ac:dyDescent="0.2">
      <c r="A1126" s="2">
        <v>19</v>
      </c>
      <c r="B1126" s="1" t="s">
        <v>152</v>
      </c>
      <c r="C1126" s="4">
        <v>17</v>
      </c>
      <c r="D1126" s="8">
        <v>1.1399999999999999</v>
      </c>
      <c r="E1126" s="4">
        <v>1</v>
      </c>
      <c r="F1126" s="8">
        <v>0.16</v>
      </c>
      <c r="G1126" s="4">
        <v>16</v>
      </c>
      <c r="H1126" s="8">
        <v>1.86</v>
      </c>
      <c r="I1126" s="4">
        <v>0</v>
      </c>
    </row>
    <row r="1127" spans="1:9" x14ac:dyDescent="0.2">
      <c r="A1127" s="2">
        <v>19</v>
      </c>
      <c r="B1127" s="1" t="s">
        <v>184</v>
      </c>
      <c r="C1127" s="4">
        <v>17</v>
      </c>
      <c r="D1127" s="8">
        <v>1.1399999999999999</v>
      </c>
      <c r="E1127" s="4">
        <v>3</v>
      </c>
      <c r="F1127" s="8">
        <v>0.49</v>
      </c>
      <c r="G1127" s="4">
        <v>14</v>
      </c>
      <c r="H1127" s="8">
        <v>1.63</v>
      </c>
      <c r="I1127" s="4">
        <v>0</v>
      </c>
    </row>
    <row r="1128" spans="1:9" x14ac:dyDescent="0.2">
      <c r="A1128" s="1"/>
      <c r="C1128" s="4"/>
      <c r="D1128" s="8"/>
      <c r="E1128" s="4"/>
      <c r="F1128" s="8"/>
      <c r="G1128" s="4"/>
      <c r="H1128" s="8"/>
      <c r="I1128" s="4"/>
    </row>
    <row r="1129" spans="1:9" x14ac:dyDescent="0.2">
      <c r="A1129" s="1" t="s">
        <v>50</v>
      </c>
      <c r="C1129" s="4"/>
      <c r="D1129" s="8"/>
      <c r="E1129" s="4"/>
      <c r="F1129" s="8"/>
      <c r="G1129" s="4"/>
      <c r="H1129" s="8"/>
      <c r="I1129" s="4"/>
    </row>
    <row r="1130" spans="1:9" x14ac:dyDescent="0.2">
      <c r="A1130" s="2">
        <v>1</v>
      </c>
      <c r="B1130" s="1" t="s">
        <v>161</v>
      </c>
      <c r="C1130" s="4">
        <v>101</v>
      </c>
      <c r="D1130" s="8">
        <v>5.75</v>
      </c>
      <c r="E1130" s="4">
        <v>60</v>
      </c>
      <c r="F1130" s="8">
        <v>7.45</v>
      </c>
      <c r="G1130" s="4">
        <v>41</v>
      </c>
      <c r="H1130" s="8">
        <v>4.3600000000000003</v>
      </c>
      <c r="I1130" s="4">
        <v>0</v>
      </c>
    </row>
    <row r="1131" spans="1:9" x14ac:dyDescent="0.2">
      <c r="A1131" s="2">
        <v>2</v>
      </c>
      <c r="B1131" s="1" t="s">
        <v>168</v>
      </c>
      <c r="C1131" s="4">
        <v>64</v>
      </c>
      <c r="D1131" s="8">
        <v>3.65</v>
      </c>
      <c r="E1131" s="4">
        <v>56</v>
      </c>
      <c r="F1131" s="8">
        <v>6.96</v>
      </c>
      <c r="G1131" s="4">
        <v>8</v>
      </c>
      <c r="H1131" s="8">
        <v>0.85</v>
      </c>
      <c r="I1131" s="4">
        <v>0</v>
      </c>
    </row>
    <row r="1132" spans="1:9" x14ac:dyDescent="0.2">
      <c r="A1132" s="2">
        <v>3</v>
      </c>
      <c r="B1132" s="1" t="s">
        <v>165</v>
      </c>
      <c r="C1132" s="4">
        <v>47</v>
      </c>
      <c r="D1132" s="8">
        <v>2.68</v>
      </c>
      <c r="E1132" s="4">
        <v>41</v>
      </c>
      <c r="F1132" s="8">
        <v>5.09</v>
      </c>
      <c r="G1132" s="4">
        <v>6</v>
      </c>
      <c r="H1132" s="8">
        <v>0.64</v>
      </c>
      <c r="I1132" s="4">
        <v>0</v>
      </c>
    </row>
    <row r="1133" spans="1:9" x14ac:dyDescent="0.2">
      <c r="A1133" s="2">
        <v>4</v>
      </c>
      <c r="B1133" s="1" t="s">
        <v>156</v>
      </c>
      <c r="C1133" s="4">
        <v>44</v>
      </c>
      <c r="D1133" s="8">
        <v>2.5099999999999998</v>
      </c>
      <c r="E1133" s="4">
        <v>19</v>
      </c>
      <c r="F1133" s="8">
        <v>2.36</v>
      </c>
      <c r="G1133" s="4">
        <v>25</v>
      </c>
      <c r="H1133" s="8">
        <v>2.66</v>
      </c>
      <c r="I1133" s="4">
        <v>0</v>
      </c>
    </row>
    <row r="1134" spans="1:9" x14ac:dyDescent="0.2">
      <c r="A1134" s="2">
        <v>4</v>
      </c>
      <c r="B1134" s="1" t="s">
        <v>171</v>
      </c>
      <c r="C1134" s="4">
        <v>44</v>
      </c>
      <c r="D1134" s="8">
        <v>2.5099999999999998</v>
      </c>
      <c r="E1134" s="4">
        <v>37</v>
      </c>
      <c r="F1134" s="8">
        <v>4.5999999999999996</v>
      </c>
      <c r="G1134" s="4">
        <v>7</v>
      </c>
      <c r="H1134" s="8">
        <v>0.74</v>
      </c>
      <c r="I1134" s="4">
        <v>0</v>
      </c>
    </row>
    <row r="1135" spans="1:9" x14ac:dyDescent="0.2">
      <c r="A1135" s="2">
        <v>6</v>
      </c>
      <c r="B1135" s="1" t="s">
        <v>170</v>
      </c>
      <c r="C1135" s="4">
        <v>43</v>
      </c>
      <c r="D1135" s="8">
        <v>2.4500000000000002</v>
      </c>
      <c r="E1135" s="4">
        <v>31</v>
      </c>
      <c r="F1135" s="8">
        <v>3.85</v>
      </c>
      <c r="G1135" s="4">
        <v>12</v>
      </c>
      <c r="H1135" s="8">
        <v>1.28</v>
      </c>
      <c r="I1135" s="4">
        <v>0</v>
      </c>
    </row>
    <row r="1136" spans="1:9" x14ac:dyDescent="0.2">
      <c r="A1136" s="2">
        <v>7</v>
      </c>
      <c r="B1136" s="1" t="s">
        <v>154</v>
      </c>
      <c r="C1136" s="4">
        <v>40</v>
      </c>
      <c r="D1136" s="8">
        <v>2.2799999999999998</v>
      </c>
      <c r="E1136" s="4">
        <v>10</v>
      </c>
      <c r="F1136" s="8">
        <v>1.24</v>
      </c>
      <c r="G1136" s="4">
        <v>30</v>
      </c>
      <c r="H1136" s="8">
        <v>3.19</v>
      </c>
      <c r="I1136" s="4">
        <v>0</v>
      </c>
    </row>
    <row r="1137" spans="1:9" x14ac:dyDescent="0.2">
      <c r="A1137" s="2">
        <v>8</v>
      </c>
      <c r="B1137" s="1" t="s">
        <v>167</v>
      </c>
      <c r="C1137" s="4">
        <v>36</v>
      </c>
      <c r="D1137" s="8">
        <v>2.0499999999999998</v>
      </c>
      <c r="E1137" s="4">
        <v>35</v>
      </c>
      <c r="F1137" s="8">
        <v>4.3499999999999996</v>
      </c>
      <c r="G1137" s="4">
        <v>1</v>
      </c>
      <c r="H1137" s="8">
        <v>0.11</v>
      </c>
      <c r="I1137" s="4">
        <v>0</v>
      </c>
    </row>
    <row r="1138" spans="1:9" x14ac:dyDescent="0.2">
      <c r="A1138" s="2">
        <v>9</v>
      </c>
      <c r="B1138" s="1" t="s">
        <v>155</v>
      </c>
      <c r="C1138" s="4">
        <v>35</v>
      </c>
      <c r="D1138" s="8">
        <v>1.99</v>
      </c>
      <c r="E1138" s="4">
        <v>3</v>
      </c>
      <c r="F1138" s="8">
        <v>0.37</v>
      </c>
      <c r="G1138" s="4">
        <v>32</v>
      </c>
      <c r="H1138" s="8">
        <v>3.4</v>
      </c>
      <c r="I1138" s="4">
        <v>0</v>
      </c>
    </row>
    <row r="1139" spans="1:9" x14ac:dyDescent="0.2">
      <c r="A1139" s="2">
        <v>10</v>
      </c>
      <c r="B1139" s="1" t="s">
        <v>188</v>
      </c>
      <c r="C1139" s="4">
        <v>33</v>
      </c>
      <c r="D1139" s="8">
        <v>1.88</v>
      </c>
      <c r="E1139" s="4">
        <v>24</v>
      </c>
      <c r="F1139" s="8">
        <v>2.98</v>
      </c>
      <c r="G1139" s="4">
        <v>9</v>
      </c>
      <c r="H1139" s="8">
        <v>0.96</v>
      </c>
      <c r="I1139" s="4">
        <v>0</v>
      </c>
    </row>
    <row r="1140" spans="1:9" x14ac:dyDescent="0.2">
      <c r="A1140" s="2">
        <v>11</v>
      </c>
      <c r="B1140" s="1" t="s">
        <v>163</v>
      </c>
      <c r="C1140" s="4">
        <v>28</v>
      </c>
      <c r="D1140" s="8">
        <v>1.6</v>
      </c>
      <c r="E1140" s="4">
        <v>26</v>
      </c>
      <c r="F1140" s="8">
        <v>3.23</v>
      </c>
      <c r="G1140" s="4">
        <v>2</v>
      </c>
      <c r="H1140" s="8">
        <v>0.21</v>
      </c>
      <c r="I1140" s="4">
        <v>0</v>
      </c>
    </row>
    <row r="1141" spans="1:9" x14ac:dyDescent="0.2">
      <c r="A1141" s="2">
        <v>12</v>
      </c>
      <c r="B1141" s="1" t="s">
        <v>184</v>
      </c>
      <c r="C1141" s="4">
        <v>26</v>
      </c>
      <c r="D1141" s="8">
        <v>1.48</v>
      </c>
      <c r="E1141" s="4">
        <v>6</v>
      </c>
      <c r="F1141" s="8">
        <v>0.75</v>
      </c>
      <c r="G1141" s="4">
        <v>20</v>
      </c>
      <c r="H1141" s="8">
        <v>2.13</v>
      </c>
      <c r="I1141" s="4">
        <v>0</v>
      </c>
    </row>
    <row r="1142" spans="1:9" x14ac:dyDescent="0.2">
      <c r="A1142" s="2">
        <v>12</v>
      </c>
      <c r="B1142" s="1" t="s">
        <v>169</v>
      </c>
      <c r="C1142" s="4">
        <v>26</v>
      </c>
      <c r="D1142" s="8">
        <v>1.48</v>
      </c>
      <c r="E1142" s="4">
        <v>19</v>
      </c>
      <c r="F1142" s="8">
        <v>2.36</v>
      </c>
      <c r="G1142" s="4">
        <v>7</v>
      </c>
      <c r="H1142" s="8">
        <v>0.74</v>
      </c>
      <c r="I1142" s="4">
        <v>0</v>
      </c>
    </row>
    <row r="1143" spans="1:9" x14ac:dyDescent="0.2">
      <c r="A1143" s="2">
        <v>14</v>
      </c>
      <c r="B1143" s="1" t="s">
        <v>153</v>
      </c>
      <c r="C1143" s="4">
        <v>25</v>
      </c>
      <c r="D1143" s="8">
        <v>1.42</v>
      </c>
      <c r="E1143" s="4">
        <v>4</v>
      </c>
      <c r="F1143" s="8">
        <v>0.5</v>
      </c>
      <c r="G1143" s="4">
        <v>21</v>
      </c>
      <c r="H1143" s="8">
        <v>2.23</v>
      </c>
      <c r="I1143" s="4">
        <v>0</v>
      </c>
    </row>
    <row r="1144" spans="1:9" x14ac:dyDescent="0.2">
      <c r="A1144" s="2">
        <v>14</v>
      </c>
      <c r="B1144" s="1" t="s">
        <v>200</v>
      </c>
      <c r="C1144" s="4">
        <v>25</v>
      </c>
      <c r="D1144" s="8">
        <v>1.42</v>
      </c>
      <c r="E1144" s="4">
        <v>5</v>
      </c>
      <c r="F1144" s="8">
        <v>0.62</v>
      </c>
      <c r="G1144" s="4">
        <v>20</v>
      </c>
      <c r="H1144" s="8">
        <v>2.13</v>
      </c>
      <c r="I1144" s="4">
        <v>0</v>
      </c>
    </row>
    <row r="1145" spans="1:9" x14ac:dyDescent="0.2">
      <c r="A1145" s="2">
        <v>14</v>
      </c>
      <c r="B1145" s="1" t="s">
        <v>164</v>
      </c>
      <c r="C1145" s="4">
        <v>25</v>
      </c>
      <c r="D1145" s="8">
        <v>1.42</v>
      </c>
      <c r="E1145" s="4">
        <v>25</v>
      </c>
      <c r="F1145" s="8">
        <v>3.11</v>
      </c>
      <c r="G1145" s="4">
        <v>0</v>
      </c>
      <c r="H1145" s="8">
        <v>0</v>
      </c>
      <c r="I1145" s="4">
        <v>0</v>
      </c>
    </row>
    <row r="1146" spans="1:9" x14ac:dyDescent="0.2">
      <c r="A1146" s="2">
        <v>17</v>
      </c>
      <c r="B1146" s="1" t="s">
        <v>196</v>
      </c>
      <c r="C1146" s="4">
        <v>24</v>
      </c>
      <c r="D1146" s="8">
        <v>1.37</v>
      </c>
      <c r="E1146" s="4">
        <v>6</v>
      </c>
      <c r="F1146" s="8">
        <v>0.75</v>
      </c>
      <c r="G1146" s="4">
        <v>18</v>
      </c>
      <c r="H1146" s="8">
        <v>1.91</v>
      </c>
      <c r="I1146" s="4">
        <v>0</v>
      </c>
    </row>
    <row r="1147" spans="1:9" x14ac:dyDescent="0.2">
      <c r="A1147" s="2">
        <v>17</v>
      </c>
      <c r="B1147" s="1" t="s">
        <v>162</v>
      </c>
      <c r="C1147" s="4">
        <v>24</v>
      </c>
      <c r="D1147" s="8">
        <v>1.37</v>
      </c>
      <c r="E1147" s="4">
        <v>10</v>
      </c>
      <c r="F1147" s="8">
        <v>1.24</v>
      </c>
      <c r="G1147" s="4">
        <v>14</v>
      </c>
      <c r="H1147" s="8">
        <v>1.49</v>
      </c>
      <c r="I1147" s="4">
        <v>0</v>
      </c>
    </row>
    <row r="1148" spans="1:9" x14ac:dyDescent="0.2">
      <c r="A1148" s="2">
        <v>19</v>
      </c>
      <c r="B1148" s="1" t="s">
        <v>204</v>
      </c>
      <c r="C1148" s="4">
        <v>23</v>
      </c>
      <c r="D1148" s="8">
        <v>1.31</v>
      </c>
      <c r="E1148" s="4">
        <v>7</v>
      </c>
      <c r="F1148" s="8">
        <v>0.87</v>
      </c>
      <c r="G1148" s="4">
        <v>16</v>
      </c>
      <c r="H1148" s="8">
        <v>1.7</v>
      </c>
      <c r="I1148" s="4">
        <v>0</v>
      </c>
    </row>
    <row r="1149" spans="1:9" x14ac:dyDescent="0.2">
      <c r="A1149" s="2">
        <v>20</v>
      </c>
      <c r="B1149" s="1" t="s">
        <v>158</v>
      </c>
      <c r="C1149" s="4">
        <v>22</v>
      </c>
      <c r="D1149" s="8">
        <v>1.25</v>
      </c>
      <c r="E1149" s="4">
        <v>15</v>
      </c>
      <c r="F1149" s="8">
        <v>1.86</v>
      </c>
      <c r="G1149" s="4">
        <v>7</v>
      </c>
      <c r="H1149" s="8">
        <v>0.74</v>
      </c>
      <c r="I1149" s="4">
        <v>0</v>
      </c>
    </row>
    <row r="1150" spans="1:9" x14ac:dyDescent="0.2">
      <c r="A1150" s="2">
        <v>20</v>
      </c>
      <c r="B1150" s="1" t="s">
        <v>166</v>
      </c>
      <c r="C1150" s="4">
        <v>22</v>
      </c>
      <c r="D1150" s="8">
        <v>1.25</v>
      </c>
      <c r="E1150" s="4">
        <v>13</v>
      </c>
      <c r="F1150" s="8">
        <v>1.61</v>
      </c>
      <c r="G1150" s="4">
        <v>9</v>
      </c>
      <c r="H1150" s="8">
        <v>0.96</v>
      </c>
      <c r="I1150" s="4">
        <v>0</v>
      </c>
    </row>
    <row r="1151" spans="1:9" x14ac:dyDescent="0.2">
      <c r="A1151" s="1"/>
      <c r="C1151" s="4"/>
      <c r="D1151" s="8"/>
      <c r="E1151" s="4"/>
      <c r="F1151" s="8"/>
      <c r="G1151" s="4"/>
      <c r="H1151" s="8"/>
      <c r="I1151" s="4"/>
    </row>
    <row r="1152" spans="1:9" x14ac:dyDescent="0.2">
      <c r="A1152" s="1" t="s">
        <v>51</v>
      </c>
      <c r="C1152" s="4"/>
      <c r="D1152" s="8"/>
      <c r="E1152" s="4"/>
      <c r="F1152" s="8"/>
      <c r="G1152" s="4"/>
      <c r="H1152" s="8"/>
      <c r="I1152" s="4"/>
    </row>
    <row r="1153" spans="1:9" x14ac:dyDescent="0.2">
      <c r="A1153" s="2">
        <v>1</v>
      </c>
      <c r="B1153" s="1" t="s">
        <v>225</v>
      </c>
      <c r="C1153" s="4">
        <v>38</v>
      </c>
      <c r="D1153" s="8">
        <v>3.72</v>
      </c>
      <c r="E1153" s="4">
        <v>38</v>
      </c>
      <c r="F1153" s="8">
        <v>7.5</v>
      </c>
      <c r="G1153" s="4">
        <v>0</v>
      </c>
      <c r="H1153" s="8">
        <v>0</v>
      </c>
      <c r="I1153" s="4">
        <v>0</v>
      </c>
    </row>
    <row r="1154" spans="1:9" x14ac:dyDescent="0.2">
      <c r="A1154" s="2">
        <v>2</v>
      </c>
      <c r="B1154" s="1" t="s">
        <v>165</v>
      </c>
      <c r="C1154" s="4">
        <v>35</v>
      </c>
      <c r="D1154" s="8">
        <v>3.43</v>
      </c>
      <c r="E1154" s="4">
        <v>29</v>
      </c>
      <c r="F1154" s="8">
        <v>5.72</v>
      </c>
      <c r="G1154" s="4">
        <v>6</v>
      </c>
      <c r="H1154" s="8">
        <v>1.22</v>
      </c>
      <c r="I1154" s="4">
        <v>0</v>
      </c>
    </row>
    <row r="1155" spans="1:9" x14ac:dyDescent="0.2">
      <c r="A1155" s="2">
        <v>3</v>
      </c>
      <c r="B1155" s="1" t="s">
        <v>170</v>
      </c>
      <c r="C1155" s="4">
        <v>32</v>
      </c>
      <c r="D1155" s="8">
        <v>3.13</v>
      </c>
      <c r="E1155" s="4">
        <v>28</v>
      </c>
      <c r="F1155" s="8">
        <v>5.52</v>
      </c>
      <c r="G1155" s="4">
        <v>4</v>
      </c>
      <c r="H1155" s="8">
        <v>0.82</v>
      </c>
      <c r="I1155" s="4">
        <v>0</v>
      </c>
    </row>
    <row r="1156" spans="1:9" x14ac:dyDescent="0.2">
      <c r="A1156" s="2">
        <v>4</v>
      </c>
      <c r="B1156" s="1" t="s">
        <v>156</v>
      </c>
      <c r="C1156" s="4">
        <v>29</v>
      </c>
      <c r="D1156" s="8">
        <v>2.84</v>
      </c>
      <c r="E1156" s="4">
        <v>18</v>
      </c>
      <c r="F1156" s="8">
        <v>3.55</v>
      </c>
      <c r="G1156" s="4">
        <v>11</v>
      </c>
      <c r="H1156" s="8">
        <v>2.2400000000000002</v>
      </c>
      <c r="I1156" s="4">
        <v>0</v>
      </c>
    </row>
    <row r="1157" spans="1:9" x14ac:dyDescent="0.2">
      <c r="A1157" s="2">
        <v>4</v>
      </c>
      <c r="B1157" s="1" t="s">
        <v>161</v>
      </c>
      <c r="C1157" s="4">
        <v>29</v>
      </c>
      <c r="D1157" s="8">
        <v>2.84</v>
      </c>
      <c r="E1157" s="4">
        <v>18</v>
      </c>
      <c r="F1157" s="8">
        <v>3.55</v>
      </c>
      <c r="G1157" s="4">
        <v>11</v>
      </c>
      <c r="H1157" s="8">
        <v>2.2400000000000002</v>
      </c>
      <c r="I1157" s="4">
        <v>0</v>
      </c>
    </row>
    <row r="1158" spans="1:9" x14ac:dyDescent="0.2">
      <c r="A1158" s="2">
        <v>6</v>
      </c>
      <c r="B1158" s="1" t="s">
        <v>168</v>
      </c>
      <c r="C1158" s="4">
        <v>28</v>
      </c>
      <c r="D1158" s="8">
        <v>2.74</v>
      </c>
      <c r="E1158" s="4">
        <v>25</v>
      </c>
      <c r="F1158" s="8">
        <v>4.93</v>
      </c>
      <c r="G1158" s="4">
        <v>3</v>
      </c>
      <c r="H1158" s="8">
        <v>0.61</v>
      </c>
      <c r="I1158" s="4">
        <v>0</v>
      </c>
    </row>
    <row r="1159" spans="1:9" x14ac:dyDescent="0.2">
      <c r="A1159" s="2">
        <v>7</v>
      </c>
      <c r="B1159" s="1" t="s">
        <v>196</v>
      </c>
      <c r="C1159" s="4">
        <v>27</v>
      </c>
      <c r="D1159" s="8">
        <v>2.64</v>
      </c>
      <c r="E1159" s="4">
        <v>6</v>
      </c>
      <c r="F1159" s="8">
        <v>1.18</v>
      </c>
      <c r="G1159" s="4">
        <v>21</v>
      </c>
      <c r="H1159" s="8">
        <v>4.29</v>
      </c>
      <c r="I1159" s="4">
        <v>0</v>
      </c>
    </row>
    <row r="1160" spans="1:9" x14ac:dyDescent="0.2">
      <c r="A1160" s="2">
        <v>8</v>
      </c>
      <c r="B1160" s="1" t="s">
        <v>167</v>
      </c>
      <c r="C1160" s="4">
        <v>22</v>
      </c>
      <c r="D1160" s="8">
        <v>2.15</v>
      </c>
      <c r="E1160" s="4">
        <v>21</v>
      </c>
      <c r="F1160" s="8">
        <v>4.1399999999999997</v>
      </c>
      <c r="G1160" s="4">
        <v>1</v>
      </c>
      <c r="H1160" s="8">
        <v>0.2</v>
      </c>
      <c r="I1160" s="4">
        <v>0</v>
      </c>
    </row>
    <row r="1161" spans="1:9" x14ac:dyDescent="0.2">
      <c r="A1161" s="2">
        <v>8</v>
      </c>
      <c r="B1161" s="1" t="s">
        <v>171</v>
      </c>
      <c r="C1161" s="4">
        <v>22</v>
      </c>
      <c r="D1161" s="8">
        <v>2.15</v>
      </c>
      <c r="E1161" s="4">
        <v>20</v>
      </c>
      <c r="F1161" s="8">
        <v>3.94</v>
      </c>
      <c r="G1161" s="4">
        <v>2</v>
      </c>
      <c r="H1161" s="8">
        <v>0.41</v>
      </c>
      <c r="I1161" s="4">
        <v>0</v>
      </c>
    </row>
    <row r="1162" spans="1:9" x14ac:dyDescent="0.2">
      <c r="A1162" s="2">
        <v>10</v>
      </c>
      <c r="B1162" s="1" t="s">
        <v>152</v>
      </c>
      <c r="C1162" s="4">
        <v>18</v>
      </c>
      <c r="D1162" s="8">
        <v>1.76</v>
      </c>
      <c r="E1162" s="4">
        <v>2</v>
      </c>
      <c r="F1162" s="8">
        <v>0.39</v>
      </c>
      <c r="G1162" s="4">
        <v>16</v>
      </c>
      <c r="H1162" s="8">
        <v>3.27</v>
      </c>
      <c r="I1162" s="4">
        <v>0</v>
      </c>
    </row>
    <row r="1163" spans="1:9" x14ac:dyDescent="0.2">
      <c r="A1163" s="2">
        <v>10</v>
      </c>
      <c r="B1163" s="1" t="s">
        <v>224</v>
      </c>
      <c r="C1163" s="4">
        <v>18</v>
      </c>
      <c r="D1163" s="8">
        <v>1.76</v>
      </c>
      <c r="E1163" s="4">
        <v>4</v>
      </c>
      <c r="F1163" s="8">
        <v>0.79</v>
      </c>
      <c r="G1163" s="4">
        <v>14</v>
      </c>
      <c r="H1163" s="8">
        <v>2.86</v>
      </c>
      <c r="I1163" s="4">
        <v>0</v>
      </c>
    </row>
    <row r="1164" spans="1:9" x14ac:dyDescent="0.2">
      <c r="A1164" s="2">
        <v>12</v>
      </c>
      <c r="B1164" s="1" t="s">
        <v>153</v>
      </c>
      <c r="C1164" s="4">
        <v>17</v>
      </c>
      <c r="D1164" s="8">
        <v>1.67</v>
      </c>
      <c r="E1164" s="4">
        <v>7</v>
      </c>
      <c r="F1164" s="8">
        <v>1.38</v>
      </c>
      <c r="G1164" s="4">
        <v>10</v>
      </c>
      <c r="H1164" s="8">
        <v>2.04</v>
      </c>
      <c r="I1164" s="4">
        <v>0</v>
      </c>
    </row>
    <row r="1165" spans="1:9" x14ac:dyDescent="0.2">
      <c r="A1165" s="2">
        <v>13</v>
      </c>
      <c r="B1165" s="1" t="s">
        <v>160</v>
      </c>
      <c r="C1165" s="4">
        <v>16</v>
      </c>
      <c r="D1165" s="8">
        <v>1.57</v>
      </c>
      <c r="E1165" s="4">
        <v>8</v>
      </c>
      <c r="F1165" s="8">
        <v>1.58</v>
      </c>
      <c r="G1165" s="4">
        <v>8</v>
      </c>
      <c r="H1165" s="8">
        <v>1.63</v>
      </c>
      <c r="I1165" s="4">
        <v>0</v>
      </c>
    </row>
    <row r="1166" spans="1:9" x14ac:dyDescent="0.2">
      <c r="A1166" s="2">
        <v>13</v>
      </c>
      <c r="B1166" s="1" t="s">
        <v>211</v>
      </c>
      <c r="C1166" s="4">
        <v>16</v>
      </c>
      <c r="D1166" s="8">
        <v>1.57</v>
      </c>
      <c r="E1166" s="4">
        <v>0</v>
      </c>
      <c r="F1166" s="8">
        <v>0</v>
      </c>
      <c r="G1166" s="4">
        <v>16</v>
      </c>
      <c r="H1166" s="8">
        <v>3.27</v>
      </c>
      <c r="I1166" s="4">
        <v>0</v>
      </c>
    </row>
    <row r="1167" spans="1:9" x14ac:dyDescent="0.2">
      <c r="A1167" s="2">
        <v>15</v>
      </c>
      <c r="B1167" s="1" t="s">
        <v>193</v>
      </c>
      <c r="C1167" s="4">
        <v>15</v>
      </c>
      <c r="D1167" s="8">
        <v>1.47</v>
      </c>
      <c r="E1167" s="4">
        <v>11</v>
      </c>
      <c r="F1167" s="8">
        <v>2.17</v>
      </c>
      <c r="G1167" s="4">
        <v>4</v>
      </c>
      <c r="H1167" s="8">
        <v>0.82</v>
      </c>
      <c r="I1167" s="4">
        <v>0</v>
      </c>
    </row>
    <row r="1168" spans="1:9" x14ac:dyDescent="0.2">
      <c r="A1168" s="2">
        <v>16</v>
      </c>
      <c r="B1168" s="1" t="s">
        <v>154</v>
      </c>
      <c r="C1168" s="4">
        <v>14</v>
      </c>
      <c r="D1168" s="8">
        <v>1.37</v>
      </c>
      <c r="E1168" s="4">
        <v>5</v>
      </c>
      <c r="F1168" s="8">
        <v>0.99</v>
      </c>
      <c r="G1168" s="4">
        <v>9</v>
      </c>
      <c r="H1168" s="8">
        <v>1.84</v>
      </c>
      <c r="I1168" s="4">
        <v>0</v>
      </c>
    </row>
    <row r="1169" spans="1:9" x14ac:dyDescent="0.2">
      <c r="A1169" s="2">
        <v>16</v>
      </c>
      <c r="B1169" s="1" t="s">
        <v>216</v>
      </c>
      <c r="C1169" s="4">
        <v>14</v>
      </c>
      <c r="D1169" s="8">
        <v>1.37</v>
      </c>
      <c r="E1169" s="4">
        <v>0</v>
      </c>
      <c r="F1169" s="8">
        <v>0</v>
      </c>
      <c r="G1169" s="4">
        <v>14</v>
      </c>
      <c r="H1169" s="8">
        <v>2.86</v>
      </c>
      <c r="I1169" s="4">
        <v>0</v>
      </c>
    </row>
    <row r="1170" spans="1:9" x14ac:dyDescent="0.2">
      <c r="A1170" s="2">
        <v>16</v>
      </c>
      <c r="B1170" s="1" t="s">
        <v>158</v>
      </c>
      <c r="C1170" s="4">
        <v>14</v>
      </c>
      <c r="D1170" s="8">
        <v>1.37</v>
      </c>
      <c r="E1170" s="4">
        <v>7</v>
      </c>
      <c r="F1170" s="8">
        <v>1.38</v>
      </c>
      <c r="G1170" s="4">
        <v>7</v>
      </c>
      <c r="H1170" s="8">
        <v>1.43</v>
      </c>
      <c r="I1170" s="4">
        <v>0</v>
      </c>
    </row>
    <row r="1171" spans="1:9" x14ac:dyDescent="0.2">
      <c r="A1171" s="2">
        <v>16</v>
      </c>
      <c r="B1171" s="1" t="s">
        <v>163</v>
      </c>
      <c r="C1171" s="4">
        <v>14</v>
      </c>
      <c r="D1171" s="8">
        <v>1.37</v>
      </c>
      <c r="E1171" s="4">
        <v>12</v>
      </c>
      <c r="F1171" s="8">
        <v>2.37</v>
      </c>
      <c r="G1171" s="4">
        <v>2</v>
      </c>
      <c r="H1171" s="8">
        <v>0.41</v>
      </c>
      <c r="I1171" s="4">
        <v>0</v>
      </c>
    </row>
    <row r="1172" spans="1:9" x14ac:dyDescent="0.2">
      <c r="A1172" s="2">
        <v>20</v>
      </c>
      <c r="B1172" s="1" t="s">
        <v>205</v>
      </c>
      <c r="C1172" s="4">
        <v>13</v>
      </c>
      <c r="D1172" s="8">
        <v>1.27</v>
      </c>
      <c r="E1172" s="4">
        <v>7</v>
      </c>
      <c r="F1172" s="8">
        <v>1.38</v>
      </c>
      <c r="G1172" s="4">
        <v>6</v>
      </c>
      <c r="H1172" s="8">
        <v>1.22</v>
      </c>
      <c r="I1172" s="4">
        <v>0</v>
      </c>
    </row>
    <row r="1173" spans="1:9" x14ac:dyDescent="0.2">
      <c r="A1173" s="2">
        <v>20</v>
      </c>
      <c r="B1173" s="1" t="s">
        <v>164</v>
      </c>
      <c r="C1173" s="4">
        <v>13</v>
      </c>
      <c r="D1173" s="8">
        <v>1.27</v>
      </c>
      <c r="E1173" s="4">
        <v>13</v>
      </c>
      <c r="F1173" s="8">
        <v>2.56</v>
      </c>
      <c r="G1173" s="4">
        <v>0</v>
      </c>
      <c r="H1173" s="8">
        <v>0</v>
      </c>
      <c r="I1173" s="4">
        <v>0</v>
      </c>
    </row>
    <row r="1174" spans="1:9" x14ac:dyDescent="0.2">
      <c r="A1174" s="1"/>
      <c r="C1174" s="4"/>
      <c r="D1174" s="8"/>
      <c r="E1174" s="4"/>
      <c r="F1174" s="8"/>
      <c r="G1174" s="4"/>
      <c r="H1174" s="8"/>
      <c r="I1174" s="4"/>
    </row>
    <row r="1175" spans="1:9" x14ac:dyDescent="0.2">
      <c r="A1175" s="1" t="s">
        <v>52</v>
      </c>
      <c r="C1175" s="4"/>
      <c r="D1175" s="8"/>
      <c r="E1175" s="4"/>
      <c r="F1175" s="8"/>
      <c r="G1175" s="4"/>
      <c r="H1175" s="8"/>
      <c r="I1175" s="4"/>
    </row>
    <row r="1176" spans="1:9" x14ac:dyDescent="0.2">
      <c r="A1176" s="2">
        <v>1</v>
      </c>
      <c r="B1176" s="1" t="s">
        <v>161</v>
      </c>
      <c r="C1176" s="4">
        <v>88</v>
      </c>
      <c r="D1176" s="8">
        <v>9.48</v>
      </c>
      <c r="E1176" s="4">
        <v>63</v>
      </c>
      <c r="F1176" s="8">
        <v>15.29</v>
      </c>
      <c r="G1176" s="4">
        <v>25</v>
      </c>
      <c r="H1176" s="8">
        <v>5.18</v>
      </c>
      <c r="I1176" s="4">
        <v>0</v>
      </c>
    </row>
    <row r="1177" spans="1:9" x14ac:dyDescent="0.2">
      <c r="A1177" s="2">
        <v>2</v>
      </c>
      <c r="B1177" s="1" t="s">
        <v>168</v>
      </c>
      <c r="C1177" s="4">
        <v>35</v>
      </c>
      <c r="D1177" s="8">
        <v>3.77</v>
      </c>
      <c r="E1177" s="4">
        <v>30</v>
      </c>
      <c r="F1177" s="8">
        <v>7.28</v>
      </c>
      <c r="G1177" s="4">
        <v>5</v>
      </c>
      <c r="H1177" s="8">
        <v>1.04</v>
      </c>
      <c r="I1177" s="4">
        <v>0</v>
      </c>
    </row>
    <row r="1178" spans="1:9" x14ac:dyDescent="0.2">
      <c r="A1178" s="2">
        <v>3</v>
      </c>
      <c r="B1178" s="1" t="s">
        <v>170</v>
      </c>
      <c r="C1178" s="4">
        <v>29</v>
      </c>
      <c r="D1178" s="8">
        <v>3.13</v>
      </c>
      <c r="E1178" s="4">
        <v>22</v>
      </c>
      <c r="F1178" s="8">
        <v>5.34</v>
      </c>
      <c r="G1178" s="4">
        <v>7</v>
      </c>
      <c r="H1178" s="8">
        <v>1.45</v>
      </c>
      <c r="I1178" s="4">
        <v>0</v>
      </c>
    </row>
    <row r="1179" spans="1:9" x14ac:dyDescent="0.2">
      <c r="A1179" s="2">
        <v>4</v>
      </c>
      <c r="B1179" s="1" t="s">
        <v>167</v>
      </c>
      <c r="C1179" s="4">
        <v>26</v>
      </c>
      <c r="D1179" s="8">
        <v>2.8</v>
      </c>
      <c r="E1179" s="4">
        <v>25</v>
      </c>
      <c r="F1179" s="8">
        <v>6.07</v>
      </c>
      <c r="G1179" s="4">
        <v>1</v>
      </c>
      <c r="H1179" s="8">
        <v>0.21</v>
      </c>
      <c r="I1179" s="4">
        <v>0</v>
      </c>
    </row>
    <row r="1180" spans="1:9" x14ac:dyDescent="0.2">
      <c r="A1180" s="2">
        <v>5</v>
      </c>
      <c r="B1180" s="1" t="s">
        <v>171</v>
      </c>
      <c r="C1180" s="4">
        <v>25</v>
      </c>
      <c r="D1180" s="8">
        <v>2.69</v>
      </c>
      <c r="E1180" s="4">
        <v>23</v>
      </c>
      <c r="F1180" s="8">
        <v>5.58</v>
      </c>
      <c r="G1180" s="4">
        <v>2</v>
      </c>
      <c r="H1180" s="8">
        <v>0.41</v>
      </c>
      <c r="I1180" s="4">
        <v>0</v>
      </c>
    </row>
    <row r="1181" spans="1:9" x14ac:dyDescent="0.2">
      <c r="A1181" s="2">
        <v>6</v>
      </c>
      <c r="B1181" s="1" t="s">
        <v>152</v>
      </c>
      <c r="C1181" s="4">
        <v>24</v>
      </c>
      <c r="D1181" s="8">
        <v>2.59</v>
      </c>
      <c r="E1181" s="4">
        <v>2</v>
      </c>
      <c r="F1181" s="8">
        <v>0.49</v>
      </c>
      <c r="G1181" s="4">
        <v>21</v>
      </c>
      <c r="H1181" s="8">
        <v>4.3499999999999996</v>
      </c>
      <c r="I1181" s="4">
        <v>1</v>
      </c>
    </row>
    <row r="1182" spans="1:9" x14ac:dyDescent="0.2">
      <c r="A1182" s="2">
        <v>7</v>
      </c>
      <c r="B1182" s="1" t="s">
        <v>156</v>
      </c>
      <c r="C1182" s="4">
        <v>23</v>
      </c>
      <c r="D1182" s="8">
        <v>2.48</v>
      </c>
      <c r="E1182" s="4">
        <v>11</v>
      </c>
      <c r="F1182" s="8">
        <v>2.67</v>
      </c>
      <c r="G1182" s="4">
        <v>12</v>
      </c>
      <c r="H1182" s="8">
        <v>2.48</v>
      </c>
      <c r="I1182" s="4">
        <v>0</v>
      </c>
    </row>
    <row r="1183" spans="1:9" x14ac:dyDescent="0.2">
      <c r="A1183" s="2">
        <v>8</v>
      </c>
      <c r="B1183" s="1" t="s">
        <v>205</v>
      </c>
      <c r="C1183" s="4">
        <v>20</v>
      </c>
      <c r="D1183" s="8">
        <v>2.16</v>
      </c>
      <c r="E1183" s="4">
        <v>6</v>
      </c>
      <c r="F1183" s="8">
        <v>1.46</v>
      </c>
      <c r="G1183" s="4">
        <v>14</v>
      </c>
      <c r="H1183" s="8">
        <v>2.9</v>
      </c>
      <c r="I1183" s="4">
        <v>0</v>
      </c>
    </row>
    <row r="1184" spans="1:9" x14ac:dyDescent="0.2">
      <c r="A1184" s="2">
        <v>9</v>
      </c>
      <c r="B1184" s="1" t="s">
        <v>163</v>
      </c>
      <c r="C1184" s="4">
        <v>18</v>
      </c>
      <c r="D1184" s="8">
        <v>1.94</v>
      </c>
      <c r="E1184" s="4">
        <v>13</v>
      </c>
      <c r="F1184" s="8">
        <v>3.16</v>
      </c>
      <c r="G1184" s="4">
        <v>5</v>
      </c>
      <c r="H1184" s="8">
        <v>1.04</v>
      </c>
      <c r="I1184" s="4">
        <v>0</v>
      </c>
    </row>
    <row r="1185" spans="1:9" x14ac:dyDescent="0.2">
      <c r="A1185" s="2">
        <v>9</v>
      </c>
      <c r="B1185" s="1" t="s">
        <v>226</v>
      </c>
      <c r="C1185" s="4">
        <v>18</v>
      </c>
      <c r="D1185" s="8">
        <v>1.94</v>
      </c>
      <c r="E1185" s="4">
        <v>1</v>
      </c>
      <c r="F1185" s="8">
        <v>0.24</v>
      </c>
      <c r="G1185" s="4">
        <v>1</v>
      </c>
      <c r="H1185" s="8">
        <v>0.21</v>
      </c>
      <c r="I1185" s="4">
        <v>0</v>
      </c>
    </row>
    <row r="1186" spans="1:9" x14ac:dyDescent="0.2">
      <c r="A1186" s="2">
        <v>11</v>
      </c>
      <c r="B1186" s="1" t="s">
        <v>165</v>
      </c>
      <c r="C1186" s="4">
        <v>17</v>
      </c>
      <c r="D1186" s="8">
        <v>1.83</v>
      </c>
      <c r="E1186" s="4">
        <v>16</v>
      </c>
      <c r="F1186" s="8">
        <v>3.88</v>
      </c>
      <c r="G1186" s="4">
        <v>1</v>
      </c>
      <c r="H1186" s="8">
        <v>0.21</v>
      </c>
      <c r="I1186" s="4">
        <v>0</v>
      </c>
    </row>
    <row r="1187" spans="1:9" x14ac:dyDescent="0.2">
      <c r="A1187" s="2">
        <v>12</v>
      </c>
      <c r="B1187" s="1" t="s">
        <v>155</v>
      </c>
      <c r="C1187" s="4">
        <v>16</v>
      </c>
      <c r="D1187" s="8">
        <v>1.72</v>
      </c>
      <c r="E1187" s="4">
        <v>4</v>
      </c>
      <c r="F1187" s="8">
        <v>0.97</v>
      </c>
      <c r="G1187" s="4">
        <v>12</v>
      </c>
      <c r="H1187" s="8">
        <v>2.48</v>
      </c>
      <c r="I1187" s="4">
        <v>0</v>
      </c>
    </row>
    <row r="1188" spans="1:9" x14ac:dyDescent="0.2">
      <c r="A1188" s="2">
        <v>12</v>
      </c>
      <c r="B1188" s="1" t="s">
        <v>197</v>
      </c>
      <c r="C1188" s="4">
        <v>16</v>
      </c>
      <c r="D1188" s="8">
        <v>1.72</v>
      </c>
      <c r="E1188" s="4">
        <v>6</v>
      </c>
      <c r="F1188" s="8">
        <v>1.46</v>
      </c>
      <c r="G1188" s="4">
        <v>10</v>
      </c>
      <c r="H1188" s="8">
        <v>2.0699999999999998</v>
      </c>
      <c r="I1188" s="4">
        <v>0</v>
      </c>
    </row>
    <row r="1189" spans="1:9" x14ac:dyDescent="0.2">
      <c r="A1189" s="2">
        <v>12</v>
      </c>
      <c r="B1189" s="1" t="s">
        <v>160</v>
      </c>
      <c r="C1189" s="4">
        <v>16</v>
      </c>
      <c r="D1189" s="8">
        <v>1.72</v>
      </c>
      <c r="E1189" s="4">
        <v>4</v>
      </c>
      <c r="F1189" s="8">
        <v>0.97</v>
      </c>
      <c r="G1189" s="4">
        <v>12</v>
      </c>
      <c r="H1189" s="8">
        <v>2.48</v>
      </c>
      <c r="I1189" s="4">
        <v>0</v>
      </c>
    </row>
    <row r="1190" spans="1:9" x14ac:dyDescent="0.2">
      <c r="A1190" s="2">
        <v>15</v>
      </c>
      <c r="B1190" s="1" t="s">
        <v>153</v>
      </c>
      <c r="C1190" s="4">
        <v>14</v>
      </c>
      <c r="D1190" s="8">
        <v>1.51</v>
      </c>
      <c r="E1190" s="4">
        <v>1</v>
      </c>
      <c r="F1190" s="8">
        <v>0.24</v>
      </c>
      <c r="G1190" s="4">
        <v>13</v>
      </c>
      <c r="H1190" s="8">
        <v>2.69</v>
      </c>
      <c r="I1190" s="4">
        <v>0</v>
      </c>
    </row>
    <row r="1191" spans="1:9" x14ac:dyDescent="0.2">
      <c r="A1191" s="2">
        <v>15</v>
      </c>
      <c r="B1191" s="1" t="s">
        <v>158</v>
      </c>
      <c r="C1191" s="4">
        <v>14</v>
      </c>
      <c r="D1191" s="8">
        <v>1.51</v>
      </c>
      <c r="E1191" s="4">
        <v>5</v>
      </c>
      <c r="F1191" s="8">
        <v>1.21</v>
      </c>
      <c r="G1191" s="4">
        <v>9</v>
      </c>
      <c r="H1191" s="8">
        <v>1.86</v>
      </c>
      <c r="I1191" s="4">
        <v>0</v>
      </c>
    </row>
    <row r="1192" spans="1:9" x14ac:dyDescent="0.2">
      <c r="A1192" s="2">
        <v>15</v>
      </c>
      <c r="B1192" s="1" t="s">
        <v>164</v>
      </c>
      <c r="C1192" s="4">
        <v>14</v>
      </c>
      <c r="D1192" s="8">
        <v>1.51</v>
      </c>
      <c r="E1192" s="4">
        <v>14</v>
      </c>
      <c r="F1192" s="8">
        <v>3.4</v>
      </c>
      <c r="G1192" s="4">
        <v>0</v>
      </c>
      <c r="H1192" s="8">
        <v>0</v>
      </c>
      <c r="I1192" s="4">
        <v>0</v>
      </c>
    </row>
    <row r="1193" spans="1:9" x14ac:dyDescent="0.2">
      <c r="A1193" s="2">
        <v>15</v>
      </c>
      <c r="B1193" s="1" t="s">
        <v>227</v>
      </c>
      <c r="C1193" s="4">
        <v>14</v>
      </c>
      <c r="D1193" s="8">
        <v>1.51</v>
      </c>
      <c r="E1193" s="4">
        <v>0</v>
      </c>
      <c r="F1193" s="8">
        <v>0</v>
      </c>
      <c r="G1193" s="4">
        <v>3</v>
      </c>
      <c r="H1193" s="8">
        <v>0.62</v>
      </c>
      <c r="I1193" s="4">
        <v>11</v>
      </c>
    </row>
    <row r="1194" spans="1:9" x14ac:dyDescent="0.2">
      <c r="A1194" s="2">
        <v>19</v>
      </c>
      <c r="B1194" s="1" t="s">
        <v>188</v>
      </c>
      <c r="C1194" s="4">
        <v>13</v>
      </c>
      <c r="D1194" s="8">
        <v>1.4</v>
      </c>
      <c r="E1194" s="4">
        <v>7</v>
      </c>
      <c r="F1194" s="8">
        <v>1.7</v>
      </c>
      <c r="G1194" s="4">
        <v>6</v>
      </c>
      <c r="H1194" s="8">
        <v>1.24</v>
      </c>
      <c r="I1194" s="4">
        <v>0</v>
      </c>
    </row>
    <row r="1195" spans="1:9" x14ac:dyDescent="0.2">
      <c r="A1195" s="2">
        <v>20</v>
      </c>
      <c r="B1195" s="1" t="s">
        <v>166</v>
      </c>
      <c r="C1195" s="4">
        <v>12</v>
      </c>
      <c r="D1195" s="8">
        <v>1.29</v>
      </c>
      <c r="E1195" s="4">
        <v>4</v>
      </c>
      <c r="F1195" s="8">
        <v>0.97</v>
      </c>
      <c r="G1195" s="4">
        <v>8</v>
      </c>
      <c r="H1195" s="8">
        <v>1.66</v>
      </c>
      <c r="I1195" s="4">
        <v>0</v>
      </c>
    </row>
    <row r="1196" spans="1:9" x14ac:dyDescent="0.2">
      <c r="A1196" s="1"/>
      <c r="C1196" s="4"/>
      <c r="D1196" s="8"/>
      <c r="E1196" s="4"/>
      <c r="F1196" s="8"/>
      <c r="G1196" s="4"/>
      <c r="H1196" s="8"/>
      <c r="I1196" s="4"/>
    </row>
    <row r="1197" spans="1:9" x14ac:dyDescent="0.2">
      <c r="A1197" s="1" t="s">
        <v>53</v>
      </c>
      <c r="C1197" s="4"/>
      <c r="D1197" s="8"/>
      <c r="E1197" s="4"/>
      <c r="F1197" s="8"/>
      <c r="G1197" s="4"/>
      <c r="H1197" s="8"/>
      <c r="I1197" s="4"/>
    </row>
    <row r="1198" spans="1:9" x14ac:dyDescent="0.2">
      <c r="A1198" s="2">
        <v>1</v>
      </c>
      <c r="B1198" s="1" t="s">
        <v>161</v>
      </c>
      <c r="C1198" s="4">
        <v>64</v>
      </c>
      <c r="D1198" s="8">
        <v>4.24</v>
      </c>
      <c r="E1198" s="4">
        <v>45</v>
      </c>
      <c r="F1198" s="8">
        <v>6.93</v>
      </c>
      <c r="G1198" s="4">
        <v>19</v>
      </c>
      <c r="H1198" s="8">
        <v>2.25</v>
      </c>
      <c r="I1198" s="4">
        <v>0</v>
      </c>
    </row>
    <row r="1199" spans="1:9" x14ac:dyDescent="0.2">
      <c r="A1199" s="2">
        <v>2</v>
      </c>
      <c r="B1199" s="1" t="s">
        <v>168</v>
      </c>
      <c r="C1199" s="4">
        <v>60</v>
      </c>
      <c r="D1199" s="8">
        <v>3.98</v>
      </c>
      <c r="E1199" s="4">
        <v>55</v>
      </c>
      <c r="F1199" s="8">
        <v>8.4700000000000006</v>
      </c>
      <c r="G1199" s="4">
        <v>5</v>
      </c>
      <c r="H1199" s="8">
        <v>0.59</v>
      </c>
      <c r="I1199" s="4">
        <v>0</v>
      </c>
    </row>
    <row r="1200" spans="1:9" x14ac:dyDescent="0.2">
      <c r="A1200" s="2">
        <v>3</v>
      </c>
      <c r="B1200" s="1" t="s">
        <v>165</v>
      </c>
      <c r="C1200" s="4">
        <v>51</v>
      </c>
      <c r="D1200" s="8">
        <v>3.38</v>
      </c>
      <c r="E1200" s="4">
        <v>47</v>
      </c>
      <c r="F1200" s="8">
        <v>7.24</v>
      </c>
      <c r="G1200" s="4">
        <v>4</v>
      </c>
      <c r="H1200" s="8">
        <v>0.47</v>
      </c>
      <c r="I1200" s="4">
        <v>0</v>
      </c>
    </row>
    <row r="1201" spans="1:9" x14ac:dyDescent="0.2">
      <c r="A1201" s="2">
        <v>4</v>
      </c>
      <c r="B1201" s="1" t="s">
        <v>171</v>
      </c>
      <c r="C1201" s="4">
        <v>34</v>
      </c>
      <c r="D1201" s="8">
        <v>2.25</v>
      </c>
      <c r="E1201" s="4">
        <v>31</v>
      </c>
      <c r="F1201" s="8">
        <v>4.78</v>
      </c>
      <c r="G1201" s="4">
        <v>3</v>
      </c>
      <c r="H1201" s="8">
        <v>0.36</v>
      </c>
      <c r="I1201" s="4">
        <v>0</v>
      </c>
    </row>
    <row r="1202" spans="1:9" x14ac:dyDescent="0.2">
      <c r="A1202" s="2">
        <v>5</v>
      </c>
      <c r="B1202" s="1" t="s">
        <v>167</v>
      </c>
      <c r="C1202" s="4">
        <v>33</v>
      </c>
      <c r="D1202" s="8">
        <v>2.19</v>
      </c>
      <c r="E1202" s="4">
        <v>32</v>
      </c>
      <c r="F1202" s="8">
        <v>4.93</v>
      </c>
      <c r="G1202" s="4">
        <v>1</v>
      </c>
      <c r="H1202" s="8">
        <v>0.12</v>
      </c>
      <c r="I1202" s="4">
        <v>0</v>
      </c>
    </row>
    <row r="1203" spans="1:9" x14ac:dyDescent="0.2">
      <c r="A1203" s="2">
        <v>6</v>
      </c>
      <c r="B1203" s="1" t="s">
        <v>184</v>
      </c>
      <c r="C1203" s="4">
        <v>30</v>
      </c>
      <c r="D1203" s="8">
        <v>1.99</v>
      </c>
      <c r="E1203" s="4">
        <v>4</v>
      </c>
      <c r="F1203" s="8">
        <v>0.62</v>
      </c>
      <c r="G1203" s="4">
        <v>26</v>
      </c>
      <c r="H1203" s="8">
        <v>3.08</v>
      </c>
      <c r="I1203" s="4">
        <v>0</v>
      </c>
    </row>
    <row r="1204" spans="1:9" x14ac:dyDescent="0.2">
      <c r="A1204" s="2">
        <v>6</v>
      </c>
      <c r="B1204" s="1" t="s">
        <v>154</v>
      </c>
      <c r="C1204" s="4">
        <v>30</v>
      </c>
      <c r="D1204" s="8">
        <v>1.99</v>
      </c>
      <c r="E1204" s="4">
        <v>5</v>
      </c>
      <c r="F1204" s="8">
        <v>0.77</v>
      </c>
      <c r="G1204" s="4">
        <v>25</v>
      </c>
      <c r="H1204" s="8">
        <v>2.96</v>
      </c>
      <c r="I1204" s="4">
        <v>0</v>
      </c>
    </row>
    <row r="1205" spans="1:9" x14ac:dyDescent="0.2">
      <c r="A1205" s="2">
        <v>6</v>
      </c>
      <c r="B1205" s="1" t="s">
        <v>170</v>
      </c>
      <c r="C1205" s="4">
        <v>30</v>
      </c>
      <c r="D1205" s="8">
        <v>1.99</v>
      </c>
      <c r="E1205" s="4">
        <v>23</v>
      </c>
      <c r="F1205" s="8">
        <v>3.54</v>
      </c>
      <c r="G1205" s="4">
        <v>7</v>
      </c>
      <c r="H1205" s="8">
        <v>0.83</v>
      </c>
      <c r="I1205" s="4">
        <v>0</v>
      </c>
    </row>
    <row r="1206" spans="1:9" x14ac:dyDescent="0.2">
      <c r="A1206" s="2">
        <v>9</v>
      </c>
      <c r="B1206" s="1" t="s">
        <v>228</v>
      </c>
      <c r="C1206" s="4">
        <v>28</v>
      </c>
      <c r="D1206" s="8">
        <v>1.86</v>
      </c>
      <c r="E1206" s="4">
        <v>27</v>
      </c>
      <c r="F1206" s="8">
        <v>4.16</v>
      </c>
      <c r="G1206" s="4">
        <v>1</v>
      </c>
      <c r="H1206" s="8">
        <v>0.12</v>
      </c>
      <c r="I1206" s="4">
        <v>0</v>
      </c>
    </row>
    <row r="1207" spans="1:9" x14ac:dyDescent="0.2">
      <c r="A1207" s="2">
        <v>9</v>
      </c>
      <c r="B1207" s="1" t="s">
        <v>156</v>
      </c>
      <c r="C1207" s="4">
        <v>28</v>
      </c>
      <c r="D1207" s="8">
        <v>1.86</v>
      </c>
      <c r="E1207" s="4">
        <v>14</v>
      </c>
      <c r="F1207" s="8">
        <v>2.16</v>
      </c>
      <c r="G1207" s="4">
        <v>14</v>
      </c>
      <c r="H1207" s="8">
        <v>1.66</v>
      </c>
      <c r="I1207" s="4">
        <v>0</v>
      </c>
    </row>
    <row r="1208" spans="1:9" x14ac:dyDescent="0.2">
      <c r="A1208" s="2">
        <v>11</v>
      </c>
      <c r="B1208" s="1" t="s">
        <v>153</v>
      </c>
      <c r="C1208" s="4">
        <v>25</v>
      </c>
      <c r="D1208" s="8">
        <v>1.66</v>
      </c>
      <c r="E1208" s="4">
        <v>4</v>
      </c>
      <c r="F1208" s="8">
        <v>0.62</v>
      </c>
      <c r="G1208" s="4">
        <v>21</v>
      </c>
      <c r="H1208" s="8">
        <v>2.4900000000000002</v>
      </c>
      <c r="I1208" s="4">
        <v>0</v>
      </c>
    </row>
    <row r="1209" spans="1:9" x14ac:dyDescent="0.2">
      <c r="A1209" s="2">
        <v>12</v>
      </c>
      <c r="B1209" s="1" t="s">
        <v>196</v>
      </c>
      <c r="C1209" s="4">
        <v>24</v>
      </c>
      <c r="D1209" s="8">
        <v>1.59</v>
      </c>
      <c r="E1209" s="4">
        <v>4</v>
      </c>
      <c r="F1209" s="8">
        <v>0.62</v>
      </c>
      <c r="G1209" s="4">
        <v>20</v>
      </c>
      <c r="H1209" s="8">
        <v>2.37</v>
      </c>
      <c r="I1209" s="4">
        <v>0</v>
      </c>
    </row>
    <row r="1210" spans="1:9" x14ac:dyDescent="0.2">
      <c r="A1210" s="2">
        <v>13</v>
      </c>
      <c r="B1210" s="1" t="s">
        <v>152</v>
      </c>
      <c r="C1210" s="4">
        <v>23</v>
      </c>
      <c r="D1210" s="8">
        <v>1.53</v>
      </c>
      <c r="E1210" s="4">
        <v>1</v>
      </c>
      <c r="F1210" s="8">
        <v>0.15</v>
      </c>
      <c r="G1210" s="4">
        <v>22</v>
      </c>
      <c r="H1210" s="8">
        <v>2.6</v>
      </c>
      <c r="I1210" s="4">
        <v>0</v>
      </c>
    </row>
    <row r="1211" spans="1:9" x14ac:dyDescent="0.2">
      <c r="A1211" s="2">
        <v>13</v>
      </c>
      <c r="B1211" s="1" t="s">
        <v>204</v>
      </c>
      <c r="C1211" s="4">
        <v>23</v>
      </c>
      <c r="D1211" s="8">
        <v>1.53</v>
      </c>
      <c r="E1211" s="4">
        <v>3</v>
      </c>
      <c r="F1211" s="8">
        <v>0.46</v>
      </c>
      <c r="G1211" s="4">
        <v>20</v>
      </c>
      <c r="H1211" s="8">
        <v>2.37</v>
      </c>
      <c r="I1211" s="4">
        <v>0</v>
      </c>
    </row>
    <row r="1212" spans="1:9" x14ac:dyDescent="0.2">
      <c r="A1212" s="2">
        <v>13</v>
      </c>
      <c r="B1212" s="1" t="s">
        <v>155</v>
      </c>
      <c r="C1212" s="4">
        <v>23</v>
      </c>
      <c r="D1212" s="8">
        <v>1.53</v>
      </c>
      <c r="E1212" s="4">
        <v>3</v>
      </c>
      <c r="F1212" s="8">
        <v>0.46</v>
      </c>
      <c r="G1212" s="4">
        <v>20</v>
      </c>
      <c r="H1212" s="8">
        <v>2.37</v>
      </c>
      <c r="I1212" s="4">
        <v>0</v>
      </c>
    </row>
    <row r="1213" spans="1:9" x14ac:dyDescent="0.2">
      <c r="A1213" s="2">
        <v>13</v>
      </c>
      <c r="B1213" s="1" t="s">
        <v>163</v>
      </c>
      <c r="C1213" s="4">
        <v>23</v>
      </c>
      <c r="D1213" s="8">
        <v>1.53</v>
      </c>
      <c r="E1213" s="4">
        <v>17</v>
      </c>
      <c r="F1213" s="8">
        <v>2.62</v>
      </c>
      <c r="G1213" s="4">
        <v>6</v>
      </c>
      <c r="H1213" s="8">
        <v>0.71</v>
      </c>
      <c r="I1213" s="4">
        <v>0</v>
      </c>
    </row>
    <row r="1214" spans="1:9" x14ac:dyDescent="0.2">
      <c r="A1214" s="2">
        <v>17</v>
      </c>
      <c r="B1214" s="1" t="s">
        <v>203</v>
      </c>
      <c r="C1214" s="4">
        <v>21</v>
      </c>
      <c r="D1214" s="8">
        <v>1.39</v>
      </c>
      <c r="E1214" s="4">
        <v>3</v>
      </c>
      <c r="F1214" s="8">
        <v>0.46</v>
      </c>
      <c r="G1214" s="4">
        <v>18</v>
      </c>
      <c r="H1214" s="8">
        <v>2.13</v>
      </c>
      <c r="I1214" s="4">
        <v>0</v>
      </c>
    </row>
    <row r="1215" spans="1:9" x14ac:dyDescent="0.2">
      <c r="A1215" s="2">
        <v>18</v>
      </c>
      <c r="B1215" s="1" t="s">
        <v>199</v>
      </c>
      <c r="C1215" s="4">
        <v>20</v>
      </c>
      <c r="D1215" s="8">
        <v>1.33</v>
      </c>
      <c r="E1215" s="4">
        <v>1</v>
      </c>
      <c r="F1215" s="8">
        <v>0.15</v>
      </c>
      <c r="G1215" s="4">
        <v>19</v>
      </c>
      <c r="H1215" s="8">
        <v>2.25</v>
      </c>
      <c r="I1215" s="4">
        <v>0</v>
      </c>
    </row>
    <row r="1216" spans="1:9" x14ac:dyDescent="0.2">
      <c r="A1216" s="2">
        <v>18</v>
      </c>
      <c r="B1216" s="1" t="s">
        <v>160</v>
      </c>
      <c r="C1216" s="4">
        <v>20</v>
      </c>
      <c r="D1216" s="8">
        <v>1.33</v>
      </c>
      <c r="E1216" s="4">
        <v>8</v>
      </c>
      <c r="F1216" s="8">
        <v>1.23</v>
      </c>
      <c r="G1216" s="4">
        <v>12</v>
      </c>
      <c r="H1216" s="8">
        <v>1.42</v>
      </c>
      <c r="I1216" s="4">
        <v>0</v>
      </c>
    </row>
    <row r="1217" spans="1:9" x14ac:dyDescent="0.2">
      <c r="A1217" s="2">
        <v>20</v>
      </c>
      <c r="B1217" s="1" t="s">
        <v>198</v>
      </c>
      <c r="C1217" s="4">
        <v>18</v>
      </c>
      <c r="D1217" s="8">
        <v>1.19</v>
      </c>
      <c r="E1217" s="4">
        <v>8</v>
      </c>
      <c r="F1217" s="8">
        <v>1.23</v>
      </c>
      <c r="G1217" s="4">
        <v>10</v>
      </c>
      <c r="H1217" s="8">
        <v>1.18</v>
      </c>
      <c r="I1217" s="4">
        <v>0</v>
      </c>
    </row>
    <row r="1218" spans="1:9" x14ac:dyDescent="0.2">
      <c r="A1218" s="2">
        <v>20</v>
      </c>
      <c r="B1218" s="1" t="s">
        <v>159</v>
      </c>
      <c r="C1218" s="4">
        <v>18</v>
      </c>
      <c r="D1218" s="8">
        <v>1.19</v>
      </c>
      <c r="E1218" s="4">
        <v>5</v>
      </c>
      <c r="F1218" s="8">
        <v>0.77</v>
      </c>
      <c r="G1218" s="4">
        <v>13</v>
      </c>
      <c r="H1218" s="8">
        <v>1.54</v>
      </c>
      <c r="I1218" s="4">
        <v>0</v>
      </c>
    </row>
    <row r="1219" spans="1:9" x14ac:dyDescent="0.2">
      <c r="A1219" s="2">
        <v>20</v>
      </c>
      <c r="B1219" s="1" t="s">
        <v>166</v>
      </c>
      <c r="C1219" s="4">
        <v>18</v>
      </c>
      <c r="D1219" s="8">
        <v>1.19</v>
      </c>
      <c r="E1219" s="4">
        <v>12</v>
      </c>
      <c r="F1219" s="8">
        <v>1.85</v>
      </c>
      <c r="G1219" s="4">
        <v>6</v>
      </c>
      <c r="H1219" s="8">
        <v>0.71</v>
      </c>
      <c r="I1219" s="4">
        <v>0</v>
      </c>
    </row>
    <row r="1220" spans="1:9" x14ac:dyDescent="0.2">
      <c r="A1220" s="2">
        <v>20</v>
      </c>
      <c r="B1220" s="1" t="s">
        <v>169</v>
      </c>
      <c r="C1220" s="4">
        <v>18</v>
      </c>
      <c r="D1220" s="8">
        <v>1.19</v>
      </c>
      <c r="E1220" s="4">
        <v>11</v>
      </c>
      <c r="F1220" s="8">
        <v>1.69</v>
      </c>
      <c r="G1220" s="4">
        <v>7</v>
      </c>
      <c r="H1220" s="8">
        <v>0.83</v>
      </c>
      <c r="I1220" s="4">
        <v>0</v>
      </c>
    </row>
    <row r="1221" spans="1:9" x14ac:dyDescent="0.2">
      <c r="A1221" s="1"/>
      <c r="C1221" s="4"/>
      <c r="D1221" s="8"/>
      <c r="E1221" s="4"/>
      <c r="F1221" s="8"/>
      <c r="G1221" s="4"/>
      <c r="H1221" s="8"/>
      <c r="I1221" s="4"/>
    </row>
    <row r="1222" spans="1:9" x14ac:dyDescent="0.2">
      <c r="A1222" s="1" t="s">
        <v>54</v>
      </c>
      <c r="C1222" s="4"/>
      <c r="D1222" s="8"/>
      <c r="E1222" s="4"/>
      <c r="F1222" s="8"/>
      <c r="G1222" s="4"/>
      <c r="H1222" s="8"/>
      <c r="I1222" s="4"/>
    </row>
    <row r="1223" spans="1:9" x14ac:dyDescent="0.2">
      <c r="A1223" s="2">
        <v>1</v>
      </c>
      <c r="B1223" s="1" t="s">
        <v>161</v>
      </c>
      <c r="C1223" s="4">
        <v>77</v>
      </c>
      <c r="D1223" s="8">
        <v>8.1300000000000008</v>
      </c>
      <c r="E1223" s="4">
        <v>38</v>
      </c>
      <c r="F1223" s="8">
        <v>10.8</v>
      </c>
      <c r="G1223" s="4">
        <v>39</v>
      </c>
      <c r="H1223" s="8">
        <v>6.59</v>
      </c>
      <c r="I1223" s="4">
        <v>0</v>
      </c>
    </row>
    <row r="1224" spans="1:9" x14ac:dyDescent="0.2">
      <c r="A1224" s="2">
        <v>2</v>
      </c>
      <c r="B1224" s="1" t="s">
        <v>170</v>
      </c>
      <c r="C1224" s="4">
        <v>48</v>
      </c>
      <c r="D1224" s="8">
        <v>5.07</v>
      </c>
      <c r="E1224" s="4">
        <v>40</v>
      </c>
      <c r="F1224" s="8">
        <v>11.36</v>
      </c>
      <c r="G1224" s="4">
        <v>8</v>
      </c>
      <c r="H1224" s="8">
        <v>1.35</v>
      </c>
      <c r="I1224" s="4">
        <v>0</v>
      </c>
    </row>
    <row r="1225" spans="1:9" x14ac:dyDescent="0.2">
      <c r="A1225" s="2">
        <v>3</v>
      </c>
      <c r="B1225" s="1" t="s">
        <v>168</v>
      </c>
      <c r="C1225" s="4">
        <v>41</v>
      </c>
      <c r="D1225" s="8">
        <v>4.33</v>
      </c>
      <c r="E1225" s="4">
        <v>34</v>
      </c>
      <c r="F1225" s="8">
        <v>9.66</v>
      </c>
      <c r="G1225" s="4">
        <v>7</v>
      </c>
      <c r="H1225" s="8">
        <v>1.18</v>
      </c>
      <c r="I1225" s="4">
        <v>0</v>
      </c>
    </row>
    <row r="1226" spans="1:9" x14ac:dyDescent="0.2">
      <c r="A1226" s="2">
        <v>4</v>
      </c>
      <c r="B1226" s="1" t="s">
        <v>152</v>
      </c>
      <c r="C1226" s="4">
        <v>24</v>
      </c>
      <c r="D1226" s="8">
        <v>2.5299999999999998</v>
      </c>
      <c r="E1226" s="4">
        <v>5</v>
      </c>
      <c r="F1226" s="8">
        <v>1.42</v>
      </c>
      <c r="G1226" s="4">
        <v>19</v>
      </c>
      <c r="H1226" s="8">
        <v>3.21</v>
      </c>
      <c r="I1226" s="4">
        <v>0</v>
      </c>
    </row>
    <row r="1227" spans="1:9" x14ac:dyDescent="0.2">
      <c r="A1227" s="2">
        <v>4</v>
      </c>
      <c r="B1227" s="1" t="s">
        <v>167</v>
      </c>
      <c r="C1227" s="4">
        <v>24</v>
      </c>
      <c r="D1227" s="8">
        <v>2.5299999999999998</v>
      </c>
      <c r="E1227" s="4">
        <v>19</v>
      </c>
      <c r="F1227" s="8">
        <v>5.4</v>
      </c>
      <c r="G1227" s="4">
        <v>5</v>
      </c>
      <c r="H1227" s="8">
        <v>0.84</v>
      </c>
      <c r="I1227" s="4">
        <v>0</v>
      </c>
    </row>
    <row r="1228" spans="1:9" x14ac:dyDescent="0.2">
      <c r="A1228" s="2">
        <v>6</v>
      </c>
      <c r="B1228" s="1" t="s">
        <v>153</v>
      </c>
      <c r="C1228" s="4">
        <v>23</v>
      </c>
      <c r="D1228" s="8">
        <v>2.4300000000000002</v>
      </c>
      <c r="E1228" s="4">
        <v>1</v>
      </c>
      <c r="F1228" s="8">
        <v>0.28000000000000003</v>
      </c>
      <c r="G1228" s="4">
        <v>22</v>
      </c>
      <c r="H1228" s="8">
        <v>3.72</v>
      </c>
      <c r="I1228" s="4">
        <v>0</v>
      </c>
    </row>
    <row r="1229" spans="1:9" x14ac:dyDescent="0.2">
      <c r="A1229" s="2">
        <v>7</v>
      </c>
      <c r="B1229" s="1" t="s">
        <v>156</v>
      </c>
      <c r="C1229" s="4">
        <v>20</v>
      </c>
      <c r="D1229" s="8">
        <v>2.11</v>
      </c>
      <c r="E1229" s="4">
        <v>11</v>
      </c>
      <c r="F1229" s="8">
        <v>3.13</v>
      </c>
      <c r="G1229" s="4">
        <v>9</v>
      </c>
      <c r="H1229" s="8">
        <v>1.52</v>
      </c>
      <c r="I1229" s="4">
        <v>0</v>
      </c>
    </row>
    <row r="1230" spans="1:9" x14ac:dyDescent="0.2">
      <c r="A1230" s="2">
        <v>7</v>
      </c>
      <c r="B1230" s="1" t="s">
        <v>174</v>
      </c>
      <c r="C1230" s="4">
        <v>20</v>
      </c>
      <c r="D1230" s="8">
        <v>2.11</v>
      </c>
      <c r="E1230" s="4">
        <v>0</v>
      </c>
      <c r="F1230" s="8">
        <v>0</v>
      </c>
      <c r="G1230" s="4">
        <v>20</v>
      </c>
      <c r="H1230" s="8">
        <v>3.38</v>
      </c>
      <c r="I1230" s="4">
        <v>0</v>
      </c>
    </row>
    <row r="1231" spans="1:9" x14ac:dyDescent="0.2">
      <c r="A1231" s="2">
        <v>7</v>
      </c>
      <c r="B1231" s="1" t="s">
        <v>165</v>
      </c>
      <c r="C1231" s="4">
        <v>20</v>
      </c>
      <c r="D1231" s="8">
        <v>2.11</v>
      </c>
      <c r="E1231" s="4">
        <v>14</v>
      </c>
      <c r="F1231" s="8">
        <v>3.98</v>
      </c>
      <c r="G1231" s="4">
        <v>5</v>
      </c>
      <c r="H1231" s="8">
        <v>0.84</v>
      </c>
      <c r="I1231" s="4">
        <v>1</v>
      </c>
    </row>
    <row r="1232" spans="1:9" x14ac:dyDescent="0.2">
      <c r="A1232" s="2">
        <v>10</v>
      </c>
      <c r="B1232" s="1" t="s">
        <v>159</v>
      </c>
      <c r="C1232" s="4">
        <v>18</v>
      </c>
      <c r="D1232" s="8">
        <v>1.9</v>
      </c>
      <c r="E1232" s="4">
        <v>4</v>
      </c>
      <c r="F1232" s="8">
        <v>1.1399999999999999</v>
      </c>
      <c r="G1232" s="4">
        <v>14</v>
      </c>
      <c r="H1232" s="8">
        <v>2.36</v>
      </c>
      <c r="I1232" s="4">
        <v>0</v>
      </c>
    </row>
    <row r="1233" spans="1:9" x14ac:dyDescent="0.2">
      <c r="A1233" s="2">
        <v>11</v>
      </c>
      <c r="B1233" s="1" t="s">
        <v>154</v>
      </c>
      <c r="C1233" s="4">
        <v>17</v>
      </c>
      <c r="D1233" s="8">
        <v>1.8</v>
      </c>
      <c r="E1233" s="4">
        <v>1</v>
      </c>
      <c r="F1233" s="8">
        <v>0.28000000000000003</v>
      </c>
      <c r="G1233" s="4">
        <v>16</v>
      </c>
      <c r="H1233" s="8">
        <v>2.7</v>
      </c>
      <c r="I1233" s="4">
        <v>0</v>
      </c>
    </row>
    <row r="1234" spans="1:9" x14ac:dyDescent="0.2">
      <c r="A1234" s="2">
        <v>11</v>
      </c>
      <c r="B1234" s="1" t="s">
        <v>171</v>
      </c>
      <c r="C1234" s="4">
        <v>17</v>
      </c>
      <c r="D1234" s="8">
        <v>1.8</v>
      </c>
      <c r="E1234" s="4">
        <v>16</v>
      </c>
      <c r="F1234" s="8">
        <v>4.55</v>
      </c>
      <c r="G1234" s="4">
        <v>1</v>
      </c>
      <c r="H1234" s="8">
        <v>0.17</v>
      </c>
      <c r="I1234" s="4">
        <v>0</v>
      </c>
    </row>
    <row r="1235" spans="1:9" x14ac:dyDescent="0.2">
      <c r="A1235" s="2">
        <v>13</v>
      </c>
      <c r="B1235" s="1" t="s">
        <v>205</v>
      </c>
      <c r="C1235" s="4">
        <v>16</v>
      </c>
      <c r="D1235" s="8">
        <v>1.69</v>
      </c>
      <c r="E1235" s="4">
        <v>3</v>
      </c>
      <c r="F1235" s="8">
        <v>0.85</v>
      </c>
      <c r="G1235" s="4">
        <v>13</v>
      </c>
      <c r="H1235" s="8">
        <v>2.2000000000000002</v>
      </c>
      <c r="I1235" s="4">
        <v>0</v>
      </c>
    </row>
    <row r="1236" spans="1:9" x14ac:dyDescent="0.2">
      <c r="A1236" s="2">
        <v>13</v>
      </c>
      <c r="B1236" s="1" t="s">
        <v>158</v>
      </c>
      <c r="C1236" s="4">
        <v>16</v>
      </c>
      <c r="D1236" s="8">
        <v>1.69</v>
      </c>
      <c r="E1236" s="4">
        <v>4</v>
      </c>
      <c r="F1236" s="8">
        <v>1.1399999999999999</v>
      </c>
      <c r="G1236" s="4">
        <v>12</v>
      </c>
      <c r="H1236" s="8">
        <v>2.0299999999999998</v>
      </c>
      <c r="I1236" s="4">
        <v>0</v>
      </c>
    </row>
    <row r="1237" spans="1:9" x14ac:dyDescent="0.2">
      <c r="A1237" s="2">
        <v>13</v>
      </c>
      <c r="B1237" s="1" t="s">
        <v>163</v>
      </c>
      <c r="C1237" s="4">
        <v>16</v>
      </c>
      <c r="D1237" s="8">
        <v>1.69</v>
      </c>
      <c r="E1237" s="4">
        <v>10</v>
      </c>
      <c r="F1237" s="8">
        <v>2.84</v>
      </c>
      <c r="G1237" s="4">
        <v>6</v>
      </c>
      <c r="H1237" s="8">
        <v>1.01</v>
      </c>
      <c r="I1237" s="4">
        <v>0</v>
      </c>
    </row>
    <row r="1238" spans="1:9" x14ac:dyDescent="0.2">
      <c r="A1238" s="2">
        <v>16</v>
      </c>
      <c r="B1238" s="1" t="s">
        <v>169</v>
      </c>
      <c r="C1238" s="4">
        <v>15</v>
      </c>
      <c r="D1238" s="8">
        <v>1.58</v>
      </c>
      <c r="E1238" s="4">
        <v>6</v>
      </c>
      <c r="F1238" s="8">
        <v>1.7</v>
      </c>
      <c r="G1238" s="4">
        <v>9</v>
      </c>
      <c r="H1238" s="8">
        <v>1.52</v>
      </c>
      <c r="I1238" s="4">
        <v>0</v>
      </c>
    </row>
    <row r="1239" spans="1:9" x14ac:dyDescent="0.2">
      <c r="A1239" s="2">
        <v>16</v>
      </c>
      <c r="B1239" s="1" t="s">
        <v>188</v>
      </c>
      <c r="C1239" s="4">
        <v>15</v>
      </c>
      <c r="D1239" s="8">
        <v>1.58</v>
      </c>
      <c r="E1239" s="4">
        <v>9</v>
      </c>
      <c r="F1239" s="8">
        <v>2.56</v>
      </c>
      <c r="G1239" s="4">
        <v>6</v>
      </c>
      <c r="H1239" s="8">
        <v>1.01</v>
      </c>
      <c r="I1239" s="4">
        <v>0</v>
      </c>
    </row>
    <row r="1240" spans="1:9" x14ac:dyDescent="0.2">
      <c r="A1240" s="2">
        <v>18</v>
      </c>
      <c r="B1240" s="1" t="s">
        <v>191</v>
      </c>
      <c r="C1240" s="4">
        <v>14</v>
      </c>
      <c r="D1240" s="8">
        <v>1.48</v>
      </c>
      <c r="E1240" s="4">
        <v>0</v>
      </c>
      <c r="F1240" s="8">
        <v>0</v>
      </c>
      <c r="G1240" s="4">
        <v>14</v>
      </c>
      <c r="H1240" s="8">
        <v>2.36</v>
      </c>
      <c r="I1240" s="4">
        <v>0</v>
      </c>
    </row>
    <row r="1241" spans="1:9" x14ac:dyDescent="0.2">
      <c r="A1241" s="2">
        <v>19</v>
      </c>
      <c r="B1241" s="1" t="s">
        <v>157</v>
      </c>
      <c r="C1241" s="4">
        <v>13</v>
      </c>
      <c r="D1241" s="8">
        <v>1.37</v>
      </c>
      <c r="E1241" s="4">
        <v>3</v>
      </c>
      <c r="F1241" s="8">
        <v>0.85</v>
      </c>
      <c r="G1241" s="4">
        <v>10</v>
      </c>
      <c r="H1241" s="8">
        <v>1.69</v>
      </c>
      <c r="I1241" s="4">
        <v>0</v>
      </c>
    </row>
    <row r="1242" spans="1:9" x14ac:dyDescent="0.2">
      <c r="A1242" s="2">
        <v>20</v>
      </c>
      <c r="B1242" s="1" t="s">
        <v>200</v>
      </c>
      <c r="C1242" s="4">
        <v>12</v>
      </c>
      <c r="D1242" s="8">
        <v>1.27</v>
      </c>
      <c r="E1242" s="4">
        <v>1</v>
      </c>
      <c r="F1242" s="8">
        <v>0.28000000000000003</v>
      </c>
      <c r="G1242" s="4">
        <v>11</v>
      </c>
      <c r="H1242" s="8">
        <v>1.86</v>
      </c>
      <c r="I1242" s="4">
        <v>0</v>
      </c>
    </row>
    <row r="1243" spans="1:9" x14ac:dyDescent="0.2">
      <c r="A1243" s="2">
        <v>20</v>
      </c>
      <c r="B1243" s="1" t="s">
        <v>160</v>
      </c>
      <c r="C1243" s="4">
        <v>12</v>
      </c>
      <c r="D1243" s="8">
        <v>1.27</v>
      </c>
      <c r="E1243" s="4">
        <v>5</v>
      </c>
      <c r="F1243" s="8">
        <v>1.42</v>
      </c>
      <c r="G1243" s="4">
        <v>7</v>
      </c>
      <c r="H1243" s="8">
        <v>1.18</v>
      </c>
      <c r="I1243" s="4">
        <v>0</v>
      </c>
    </row>
    <row r="1244" spans="1:9" x14ac:dyDescent="0.2">
      <c r="A1244" s="2">
        <v>20</v>
      </c>
      <c r="B1244" s="1" t="s">
        <v>162</v>
      </c>
      <c r="C1244" s="4">
        <v>12</v>
      </c>
      <c r="D1244" s="8">
        <v>1.27</v>
      </c>
      <c r="E1244" s="4">
        <v>3</v>
      </c>
      <c r="F1244" s="8">
        <v>0.85</v>
      </c>
      <c r="G1244" s="4">
        <v>9</v>
      </c>
      <c r="H1244" s="8">
        <v>1.52</v>
      </c>
      <c r="I1244" s="4">
        <v>0</v>
      </c>
    </row>
    <row r="1245" spans="1:9" x14ac:dyDescent="0.2">
      <c r="A1245" s="2">
        <v>20</v>
      </c>
      <c r="B1245" s="1" t="s">
        <v>166</v>
      </c>
      <c r="C1245" s="4">
        <v>12</v>
      </c>
      <c r="D1245" s="8">
        <v>1.27</v>
      </c>
      <c r="E1245" s="4">
        <v>3</v>
      </c>
      <c r="F1245" s="8">
        <v>0.85</v>
      </c>
      <c r="G1245" s="4">
        <v>9</v>
      </c>
      <c r="H1245" s="8">
        <v>1.52</v>
      </c>
      <c r="I1245" s="4">
        <v>0</v>
      </c>
    </row>
    <row r="1246" spans="1:9" x14ac:dyDescent="0.2">
      <c r="A1246" s="1"/>
      <c r="C1246" s="4"/>
      <c r="D1246" s="8"/>
      <c r="E1246" s="4"/>
      <c r="F1246" s="8"/>
      <c r="G1246" s="4"/>
      <c r="H1246" s="8"/>
      <c r="I1246" s="4"/>
    </row>
    <row r="1247" spans="1:9" x14ac:dyDescent="0.2">
      <c r="A1247" s="1" t="s">
        <v>55</v>
      </c>
      <c r="C1247" s="4"/>
      <c r="D1247" s="8"/>
      <c r="E1247" s="4"/>
      <c r="F1247" s="8"/>
      <c r="G1247" s="4"/>
      <c r="H1247" s="8"/>
      <c r="I1247" s="4"/>
    </row>
    <row r="1248" spans="1:9" x14ac:dyDescent="0.2">
      <c r="A1248" s="2">
        <v>1</v>
      </c>
      <c r="B1248" s="1" t="s">
        <v>168</v>
      </c>
      <c r="C1248" s="4">
        <v>36</v>
      </c>
      <c r="D1248" s="8">
        <v>4.7699999999999996</v>
      </c>
      <c r="E1248" s="4">
        <v>32</v>
      </c>
      <c r="F1248" s="8">
        <v>9.9700000000000006</v>
      </c>
      <c r="G1248" s="4">
        <v>4</v>
      </c>
      <c r="H1248" s="8">
        <v>0.93</v>
      </c>
      <c r="I1248" s="4">
        <v>0</v>
      </c>
    </row>
    <row r="1249" spans="1:9" x14ac:dyDescent="0.2">
      <c r="A1249" s="2">
        <v>2</v>
      </c>
      <c r="B1249" s="1" t="s">
        <v>170</v>
      </c>
      <c r="C1249" s="4">
        <v>28</v>
      </c>
      <c r="D1249" s="8">
        <v>3.71</v>
      </c>
      <c r="E1249" s="4">
        <v>21</v>
      </c>
      <c r="F1249" s="8">
        <v>6.54</v>
      </c>
      <c r="G1249" s="4">
        <v>7</v>
      </c>
      <c r="H1249" s="8">
        <v>1.62</v>
      </c>
      <c r="I1249" s="4">
        <v>0</v>
      </c>
    </row>
    <row r="1250" spans="1:9" x14ac:dyDescent="0.2">
      <c r="A1250" s="2">
        <v>3</v>
      </c>
      <c r="B1250" s="1" t="s">
        <v>156</v>
      </c>
      <c r="C1250" s="4">
        <v>22</v>
      </c>
      <c r="D1250" s="8">
        <v>2.92</v>
      </c>
      <c r="E1250" s="4">
        <v>15</v>
      </c>
      <c r="F1250" s="8">
        <v>4.67</v>
      </c>
      <c r="G1250" s="4">
        <v>7</v>
      </c>
      <c r="H1250" s="8">
        <v>1.62</v>
      </c>
      <c r="I1250" s="4">
        <v>0</v>
      </c>
    </row>
    <row r="1251" spans="1:9" x14ac:dyDescent="0.2">
      <c r="A1251" s="2">
        <v>4</v>
      </c>
      <c r="B1251" s="1" t="s">
        <v>157</v>
      </c>
      <c r="C1251" s="4">
        <v>20</v>
      </c>
      <c r="D1251" s="8">
        <v>2.65</v>
      </c>
      <c r="E1251" s="4">
        <v>8</v>
      </c>
      <c r="F1251" s="8">
        <v>2.4900000000000002</v>
      </c>
      <c r="G1251" s="4">
        <v>12</v>
      </c>
      <c r="H1251" s="8">
        <v>2.78</v>
      </c>
      <c r="I1251" s="4">
        <v>0</v>
      </c>
    </row>
    <row r="1252" spans="1:9" x14ac:dyDescent="0.2">
      <c r="A1252" s="2">
        <v>4</v>
      </c>
      <c r="B1252" s="1" t="s">
        <v>167</v>
      </c>
      <c r="C1252" s="4">
        <v>20</v>
      </c>
      <c r="D1252" s="8">
        <v>2.65</v>
      </c>
      <c r="E1252" s="4">
        <v>18</v>
      </c>
      <c r="F1252" s="8">
        <v>5.61</v>
      </c>
      <c r="G1252" s="4">
        <v>2</v>
      </c>
      <c r="H1252" s="8">
        <v>0.46</v>
      </c>
      <c r="I1252" s="4">
        <v>0</v>
      </c>
    </row>
    <row r="1253" spans="1:9" x14ac:dyDescent="0.2">
      <c r="A1253" s="2">
        <v>6</v>
      </c>
      <c r="B1253" s="1" t="s">
        <v>165</v>
      </c>
      <c r="C1253" s="4">
        <v>18</v>
      </c>
      <c r="D1253" s="8">
        <v>2.39</v>
      </c>
      <c r="E1253" s="4">
        <v>16</v>
      </c>
      <c r="F1253" s="8">
        <v>4.9800000000000004</v>
      </c>
      <c r="G1253" s="4">
        <v>2</v>
      </c>
      <c r="H1253" s="8">
        <v>0.46</v>
      </c>
      <c r="I1253" s="4">
        <v>0</v>
      </c>
    </row>
    <row r="1254" spans="1:9" x14ac:dyDescent="0.2">
      <c r="A1254" s="2">
        <v>6</v>
      </c>
      <c r="B1254" s="1" t="s">
        <v>171</v>
      </c>
      <c r="C1254" s="4">
        <v>18</v>
      </c>
      <c r="D1254" s="8">
        <v>2.39</v>
      </c>
      <c r="E1254" s="4">
        <v>18</v>
      </c>
      <c r="F1254" s="8">
        <v>5.61</v>
      </c>
      <c r="G1254" s="4">
        <v>0</v>
      </c>
      <c r="H1254" s="8">
        <v>0</v>
      </c>
      <c r="I1254" s="4">
        <v>0</v>
      </c>
    </row>
    <row r="1255" spans="1:9" x14ac:dyDescent="0.2">
      <c r="A1255" s="2">
        <v>8</v>
      </c>
      <c r="B1255" s="1" t="s">
        <v>169</v>
      </c>
      <c r="C1255" s="4">
        <v>17</v>
      </c>
      <c r="D1255" s="8">
        <v>2.25</v>
      </c>
      <c r="E1255" s="4">
        <v>10</v>
      </c>
      <c r="F1255" s="8">
        <v>3.12</v>
      </c>
      <c r="G1255" s="4">
        <v>7</v>
      </c>
      <c r="H1255" s="8">
        <v>1.62</v>
      </c>
      <c r="I1255" s="4">
        <v>0</v>
      </c>
    </row>
    <row r="1256" spans="1:9" x14ac:dyDescent="0.2">
      <c r="A1256" s="2">
        <v>9</v>
      </c>
      <c r="B1256" s="1" t="s">
        <v>152</v>
      </c>
      <c r="C1256" s="4">
        <v>15</v>
      </c>
      <c r="D1256" s="8">
        <v>1.99</v>
      </c>
      <c r="E1256" s="4">
        <v>2</v>
      </c>
      <c r="F1256" s="8">
        <v>0.62</v>
      </c>
      <c r="G1256" s="4">
        <v>13</v>
      </c>
      <c r="H1256" s="8">
        <v>3.01</v>
      </c>
      <c r="I1256" s="4">
        <v>0</v>
      </c>
    </row>
    <row r="1257" spans="1:9" x14ac:dyDescent="0.2">
      <c r="A1257" s="2">
        <v>9</v>
      </c>
      <c r="B1257" s="1" t="s">
        <v>154</v>
      </c>
      <c r="C1257" s="4">
        <v>15</v>
      </c>
      <c r="D1257" s="8">
        <v>1.99</v>
      </c>
      <c r="E1257" s="4">
        <v>3</v>
      </c>
      <c r="F1257" s="8">
        <v>0.93</v>
      </c>
      <c r="G1257" s="4">
        <v>12</v>
      </c>
      <c r="H1257" s="8">
        <v>2.78</v>
      </c>
      <c r="I1257" s="4">
        <v>0</v>
      </c>
    </row>
    <row r="1258" spans="1:9" x14ac:dyDescent="0.2">
      <c r="A1258" s="2">
        <v>11</v>
      </c>
      <c r="B1258" s="1" t="s">
        <v>201</v>
      </c>
      <c r="C1258" s="4">
        <v>13</v>
      </c>
      <c r="D1258" s="8">
        <v>1.72</v>
      </c>
      <c r="E1258" s="4">
        <v>2</v>
      </c>
      <c r="F1258" s="8">
        <v>0.62</v>
      </c>
      <c r="G1258" s="4">
        <v>11</v>
      </c>
      <c r="H1258" s="8">
        <v>2.5499999999999998</v>
      </c>
      <c r="I1258" s="4">
        <v>0</v>
      </c>
    </row>
    <row r="1259" spans="1:9" x14ac:dyDescent="0.2">
      <c r="A1259" s="2">
        <v>11</v>
      </c>
      <c r="B1259" s="1" t="s">
        <v>202</v>
      </c>
      <c r="C1259" s="4">
        <v>13</v>
      </c>
      <c r="D1259" s="8">
        <v>1.72</v>
      </c>
      <c r="E1259" s="4">
        <v>2</v>
      </c>
      <c r="F1259" s="8">
        <v>0.62</v>
      </c>
      <c r="G1259" s="4">
        <v>11</v>
      </c>
      <c r="H1259" s="8">
        <v>2.5499999999999998</v>
      </c>
      <c r="I1259" s="4">
        <v>0</v>
      </c>
    </row>
    <row r="1260" spans="1:9" x14ac:dyDescent="0.2">
      <c r="A1260" s="2">
        <v>11</v>
      </c>
      <c r="B1260" s="1" t="s">
        <v>188</v>
      </c>
      <c r="C1260" s="4">
        <v>13</v>
      </c>
      <c r="D1260" s="8">
        <v>1.72</v>
      </c>
      <c r="E1260" s="4">
        <v>10</v>
      </c>
      <c r="F1260" s="8">
        <v>3.12</v>
      </c>
      <c r="G1260" s="4">
        <v>3</v>
      </c>
      <c r="H1260" s="8">
        <v>0.69</v>
      </c>
      <c r="I1260" s="4">
        <v>0</v>
      </c>
    </row>
    <row r="1261" spans="1:9" x14ac:dyDescent="0.2">
      <c r="A1261" s="2">
        <v>14</v>
      </c>
      <c r="B1261" s="1" t="s">
        <v>153</v>
      </c>
      <c r="C1261" s="4">
        <v>12</v>
      </c>
      <c r="D1261" s="8">
        <v>1.59</v>
      </c>
      <c r="E1261" s="4">
        <v>2</v>
      </c>
      <c r="F1261" s="8">
        <v>0.62</v>
      </c>
      <c r="G1261" s="4">
        <v>10</v>
      </c>
      <c r="H1261" s="8">
        <v>2.31</v>
      </c>
      <c r="I1261" s="4">
        <v>0</v>
      </c>
    </row>
    <row r="1262" spans="1:9" x14ac:dyDescent="0.2">
      <c r="A1262" s="2">
        <v>14</v>
      </c>
      <c r="B1262" s="1" t="s">
        <v>191</v>
      </c>
      <c r="C1262" s="4">
        <v>12</v>
      </c>
      <c r="D1262" s="8">
        <v>1.59</v>
      </c>
      <c r="E1262" s="4">
        <v>2</v>
      </c>
      <c r="F1262" s="8">
        <v>0.62</v>
      </c>
      <c r="G1262" s="4">
        <v>10</v>
      </c>
      <c r="H1262" s="8">
        <v>2.31</v>
      </c>
      <c r="I1262" s="4">
        <v>0</v>
      </c>
    </row>
    <row r="1263" spans="1:9" x14ac:dyDescent="0.2">
      <c r="A1263" s="2">
        <v>14</v>
      </c>
      <c r="B1263" s="1" t="s">
        <v>161</v>
      </c>
      <c r="C1263" s="4">
        <v>12</v>
      </c>
      <c r="D1263" s="8">
        <v>1.59</v>
      </c>
      <c r="E1263" s="4">
        <v>2</v>
      </c>
      <c r="F1263" s="8">
        <v>0.62</v>
      </c>
      <c r="G1263" s="4">
        <v>10</v>
      </c>
      <c r="H1263" s="8">
        <v>2.31</v>
      </c>
      <c r="I1263" s="4">
        <v>0</v>
      </c>
    </row>
    <row r="1264" spans="1:9" x14ac:dyDescent="0.2">
      <c r="A1264" s="2">
        <v>17</v>
      </c>
      <c r="B1264" s="1" t="s">
        <v>184</v>
      </c>
      <c r="C1264" s="4">
        <v>11</v>
      </c>
      <c r="D1264" s="8">
        <v>1.46</v>
      </c>
      <c r="E1264" s="4">
        <v>2</v>
      </c>
      <c r="F1264" s="8">
        <v>0.62</v>
      </c>
      <c r="G1264" s="4">
        <v>9</v>
      </c>
      <c r="H1264" s="8">
        <v>2.08</v>
      </c>
      <c r="I1264" s="4">
        <v>0</v>
      </c>
    </row>
    <row r="1265" spans="1:9" x14ac:dyDescent="0.2">
      <c r="A1265" s="2">
        <v>17</v>
      </c>
      <c r="B1265" s="1" t="s">
        <v>158</v>
      </c>
      <c r="C1265" s="4">
        <v>11</v>
      </c>
      <c r="D1265" s="8">
        <v>1.46</v>
      </c>
      <c r="E1265" s="4">
        <v>5</v>
      </c>
      <c r="F1265" s="8">
        <v>1.56</v>
      </c>
      <c r="G1265" s="4">
        <v>6</v>
      </c>
      <c r="H1265" s="8">
        <v>1.39</v>
      </c>
      <c r="I1265" s="4">
        <v>0</v>
      </c>
    </row>
    <row r="1266" spans="1:9" x14ac:dyDescent="0.2">
      <c r="A1266" s="2">
        <v>19</v>
      </c>
      <c r="B1266" s="1" t="s">
        <v>205</v>
      </c>
      <c r="C1266" s="4">
        <v>10</v>
      </c>
      <c r="D1266" s="8">
        <v>1.33</v>
      </c>
      <c r="E1266" s="4">
        <v>2</v>
      </c>
      <c r="F1266" s="8">
        <v>0.62</v>
      </c>
      <c r="G1266" s="4">
        <v>8</v>
      </c>
      <c r="H1266" s="8">
        <v>1.85</v>
      </c>
      <c r="I1266" s="4">
        <v>0</v>
      </c>
    </row>
    <row r="1267" spans="1:9" x14ac:dyDescent="0.2">
      <c r="A1267" s="2">
        <v>19</v>
      </c>
      <c r="B1267" s="1" t="s">
        <v>200</v>
      </c>
      <c r="C1267" s="4">
        <v>10</v>
      </c>
      <c r="D1267" s="8">
        <v>1.33</v>
      </c>
      <c r="E1267" s="4">
        <v>5</v>
      </c>
      <c r="F1267" s="8">
        <v>1.56</v>
      </c>
      <c r="G1267" s="4">
        <v>5</v>
      </c>
      <c r="H1267" s="8">
        <v>1.1599999999999999</v>
      </c>
      <c r="I1267" s="4">
        <v>0</v>
      </c>
    </row>
    <row r="1268" spans="1:9" x14ac:dyDescent="0.2">
      <c r="A1268" s="2">
        <v>19</v>
      </c>
      <c r="B1268" s="1" t="s">
        <v>155</v>
      </c>
      <c r="C1268" s="4">
        <v>10</v>
      </c>
      <c r="D1268" s="8">
        <v>1.33</v>
      </c>
      <c r="E1268" s="4">
        <v>3</v>
      </c>
      <c r="F1268" s="8">
        <v>0.93</v>
      </c>
      <c r="G1268" s="4">
        <v>7</v>
      </c>
      <c r="H1268" s="8">
        <v>1.62</v>
      </c>
      <c r="I1268" s="4">
        <v>0</v>
      </c>
    </row>
    <row r="1269" spans="1:9" x14ac:dyDescent="0.2">
      <c r="A1269" s="2">
        <v>19</v>
      </c>
      <c r="B1269" s="1" t="s">
        <v>196</v>
      </c>
      <c r="C1269" s="4">
        <v>10</v>
      </c>
      <c r="D1269" s="8">
        <v>1.33</v>
      </c>
      <c r="E1269" s="4">
        <v>3</v>
      </c>
      <c r="F1269" s="8">
        <v>0.93</v>
      </c>
      <c r="G1269" s="4">
        <v>7</v>
      </c>
      <c r="H1269" s="8">
        <v>1.62</v>
      </c>
      <c r="I1269" s="4">
        <v>0</v>
      </c>
    </row>
    <row r="1270" spans="1:9" x14ac:dyDescent="0.2">
      <c r="A1270" s="2">
        <v>19</v>
      </c>
      <c r="B1270" s="1" t="s">
        <v>163</v>
      </c>
      <c r="C1270" s="4">
        <v>10</v>
      </c>
      <c r="D1270" s="8">
        <v>1.33</v>
      </c>
      <c r="E1270" s="4">
        <v>8</v>
      </c>
      <c r="F1270" s="8">
        <v>2.4900000000000002</v>
      </c>
      <c r="G1270" s="4">
        <v>2</v>
      </c>
      <c r="H1270" s="8">
        <v>0.46</v>
      </c>
      <c r="I1270" s="4">
        <v>0</v>
      </c>
    </row>
    <row r="1271" spans="1:9" x14ac:dyDescent="0.2">
      <c r="A1271" s="2">
        <v>19</v>
      </c>
      <c r="B1271" s="1" t="s">
        <v>211</v>
      </c>
      <c r="C1271" s="4">
        <v>10</v>
      </c>
      <c r="D1271" s="8">
        <v>1.33</v>
      </c>
      <c r="E1271" s="4">
        <v>1</v>
      </c>
      <c r="F1271" s="8">
        <v>0.31</v>
      </c>
      <c r="G1271" s="4">
        <v>9</v>
      </c>
      <c r="H1271" s="8">
        <v>2.08</v>
      </c>
      <c r="I1271" s="4">
        <v>0</v>
      </c>
    </row>
    <row r="1272" spans="1:9" x14ac:dyDescent="0.2">
      <c r="A1272" s="1"/>
      <c r="C1272" s="4"/>
      <c r="D1272" s="8"/>
      <c r="E1272" s="4"/>
      <c r="F1272" s="8"/>
      <c r="G1272" s="4"/>
      <c r="H1272" s="8"/>
      <c r="I1272" s="4"/>
    </row>
    <row r="1273" spans="1:9" x14ac:dyDescent="0.2">
      <c r="A1273" s="1" t="s">
        <v>56</v>
      </c>
      <c r="C1273" s="4"/>
      <c r="D1273" s="8"/>
      <c r="E1273" s="4"/>
      <c r="F1273" s="8"/>
      <c r="G1273" s="4"/>
      <c r="H1273" s="8"/>
      <c r="I1273" s="4"/>
    </row>
    <row r="1274" spans="1:9" x14ac:dyDescent="0.2">
      <c r="A1274" s="2">
        <v>1</v>
      </c>
      <c r="B1274" s="1" t="s">
        <v>161</v>
      </c>
      <c r="C1274" s="4">
        <v>28</v>
      </c>
      <c r="D1274" s="8">
        <v>7.11</v>
      </c>
      <c r="E1274" s="4">
        <v>21</v>
      </c>
      <c r="F1274" s="8">
        <v>12.88</v>
      </c>
      <c r="G1274" s="4">
        <v>7</v>
      </c>
      <c r="H1274" s="8">
        <v>3.04</v>
      </c>
      <c r="I1274" s="4">
        <v>0</v>
      </c>
    </row>
    <row r="1275" spans="1:9" x14ac:dyDescent="0.2">
      <c r="A1275" s="2">
        <v>2</v>
      </c>
      <c r="B1275" s="1" t="s">
        <v>194</v>
      </c>
      <c r="C1275" s="4">
        <v>20</v>
      </c>
      <c r="D1275" s="8">
        <v>5.08</v>
      </c>
      <c r="E1275" s="4">
        <v>1</v>
      </c>
      <c r="F1275" s="8">
        <v>0.61</v>
      </c>
      <c r="G1275" s="4">
        <v>19</v>
      </c>
      <c r="H1275" s="8">
        <v>8.26</v>
      </c>
      <c r="I1275" s="4">
        <v>0</v>
      </c>
    </row>
    <row r="1276" spans="1:9" x14ac:dyDescent="0.2">
      <c r="A1276" s="2">
        <v>3</v>
      </c>
      <c r="B1276" s="1" t="s">
        <v>165</v>
      </c>
      <c r="C1276" s="4">
        <v>17</v>
      </c>
      <c r="D1276" s="8">
        <v>4.3099999999999996</v>
      </c>
      <c r="E1276" s="4">
        <v>15</v>
      </c>
      <c r="F1276" s="8">
        <v>9.1999999999999993</v>
      </c>
      <c r="G1276" s="4">
        <v>2</v>
      </c>
      <c r="H1276" s="8">
        <v>0.87</v>
      </c>
      <c r="I1276" s="4">
        <v>0</v>
      </c>
    </row>
    <row r="1277" spans="1:9" x14ac:dyDescent="0.2">
      <c r="A1277" s="2">
        <v>4</v>
      </c>
      <c r="B1277" s="1" t="s">
        <v>168</v>
      </c>
      <c r="C1277" s="4">
        <v>13</v>
      </c>
      <c r="D1277" s="8">
        <v>3.3</v>
      </c>
      <c r="E1277" s="4">
        <v>13</v>
      </c>
      <c r="F1277" s="8">
        <v>7.98</v>
      </c>
      <c r="G1277" s="4">
        <v>0</v>
      </c>
      <c r="H1277" s="8">
        <v>0</v>
      </c>
      <c r="I1277" s="4">
        <v>0</v>
      </c>
    </row>
    <row r="1278" spans="1:9" x14ac:dyDescent="0.2">
      <c r="A1278" s="2">
        <v>5</v>
      </c>
      <c r="B1278" s="1" t="s">
        <v>187</v>
      </c>
      <c r="C1278" s="4">
        <v>9</v>
      </c>
      <c r="D1278" s="8">
        <v>2.2799999999999998</v>
      </c>
      <c r="E1278" s="4">
        <v>1</v>
      </c>
      <c r="F1278" s="8">
        <v>0.61</v>
      </c>
      <c r="G1278" s="4">
        <v>8</v>
      </c>
      <c r="H1278" s="8">
        <v>3.48</v>
      </c>
      <c r="I1278" s="4">
        <v>0</v>
      </c>
    </row>
    <row r="1279" spans="1:9" x14ac:dyDescent="0.2">
      <c r="A1279" s="2">
        <v>5</v>
      </c>
      <c r="B1279" s="1" t="s">
        <v>193</v>
      </c>
      <c r="C1279" s="4">
        <v>9</v>
      </c>
      <c r="D1279" s="8">
        <v>2.2799999999999998</v>
      </c>
      <c r="E1279" s="4">
        <v>8</v>
      </c>
      <c r="F1279" s="8">
        <v>4.91</v>
      </c>
      <c r="G1279" s="4">
        <v>1</v>
      </c>
      <c r="H1279" s="8">
        <v>0.43</v>
      </c>
      <c r="I1279" s="4">
        <v>0</v>
      </c>
    </row>
    <row r="1280" spans="1:9" x14ac:dyDescent="0.2">
      <c r="A1280" s="2">
        <v>7</v>
      </c>
      <c r="B1280" s="1" t="s">
        <v>156</v>
      </c>
      <c r="C1280" s="4">
        <v>7</v>
      </c>
      <c r="D1280" s="8">
        <v>1.78</v>
      </c>
      <c r="E1280" s="4">
        <v>2</v>
      </c>
      <c r="F1280" s="8">
        <v>1.23</v>
      </c>
      <c r="G1280" s="4">
        <v>5</v>
      </c>
      <c r="H1280" s="8">
        <v>2.17</v>
      </c>
      <c r="I1280" s="4">
        <v>0</v>
      </c>
    </row>
    <row r="1281" spans="1:9" x14ac:dyDescent="0.2">
      <c r="A1281" s="2">
        <v>7</v>
      </c>
      <c r="B1281" s="1" t="s">
        <v>159</v>
      </c>
      <c r="C1281" s="4">
        <v>7</v>
      </c>
      <c r="D1281" s="8">
        <v>1.78</v>
      </c>
      <c r="E1281" s="4">
        <v>4</v>
      </c>
      <c r="F1281" s="8">
        <v>2.4500000000000002</v>
      </c>
      <c r="G1281" s="4">
        <v>3</v>
      </c>
      <c r="H1281" s="8">
        <v>1.3</v>
      </c>
      <c r="I1281" s="4">
        <v>0</v>
      </c>
    </row>
    <row r="1282" spans="1:9" x14ac:dyDescent="0.2">
      <c r="A1282" s="2">
        <v>7</v>
      </c>
      <c r="B1282" s="1" t="s">
        <v>164</v>
      </c>
      <c r="C1282" s="4">
        <v>7</v>
      </c>
      <c r="D1282" s="8">
        <v>1.78</v>
      </c>
      <c r="E1282" s="4">
        <v>6</v>
      </c>
      <c r="F1282" s="8">
        <v>3.68</v>
      </c>
      <c r="G1282" s="4">
        <v>1</v>
      </c>
      <c r="H1282" s="8">
        <v>0.43</v>
      </c>
      <c r="I1282" s="4">
        <v>0</v>
      </c>
    </row>
    <row r="1283" spans="1:9" x14ac:dyDescent="0.2">
      <c r="A1283" s="2">
        <v>7</v>
      </c>
      <c r="B1283" s="1" t="s">
        <v>188</v>
      </c>
      <c r="C1283" s="4">
        <v>7</v>
      </c>
      <c r="D1283" s="8">
        <v>1.78</v>
      </c>
      <c r="E1283" s="4">
        <v>5</v>
      </c>
      <c r="F1283" s="8">
        <v>3.07</v>
      </c>
      <c r="G1283" s="4">
        <v>2</v>
      </c>
      <c r="H1283" s="8">
        <v>0.87</v>
      </c>
      <c r="I1283" s="4">
        <v>0</v>
      </c>
    </row>
    <row r="1284" spans="1:9" x14ac:dyDescent="0.2">
      <c r="A1284" s="2">
        <v>11</v>
      </c>
      <c r="B1284" s="1" t="s">
        <v>191</v>
      </c>
      <c r="C1284" s="4">
        <v>6</v>
      </c>
      <c r="D1284" s="8">
        <v>1.52</v>
      </c>
      <c r="E1284" s="4">
        <v>1</v>
      </c>
      <c r="F1284" s="8">
        <v>0.61</v>
      </c>
      <c r="G1284" s="4">
        <v>5</v>
      </c>
      <c r="H1284" s="8">
        <v>2.17</v>
      </c>
      <c r="I1284" s="4">
        <v>0</v>
      </c>
    </row>
    <row r="1285" spans="1:9" x14ac:dyDescent="0.2">
      <c r="A1285" s="2">
        <v>11</v>
      </c>
      <c r="B1285" s="1" t="s">
        <v>198</v>
      </c>
      <c r="C1285" s="4">
        <v>6</v>
      </c>
      <c r="D1285" s="8">
        <v>1.52</v>
      </c>
      <c r="E1285" s="4">
        <v>2</v>
      </c>
      <c r="F1285" s="8">
        <v>1.23</v>
      </c>
      <c r="G1285" s="4">
        <v>4</v>
      </c>
      <c r="H1285" s="8">
        <v>1.74</v>
      </c>
      <c r="I1285" s="4">
        <v>0</v>
      </c>
    </row>
    <row r="1286" spans="1:9" x14ac:dyDescent="0.2">
      <c r="A1286" s="2">
        <v>11</v>
      </c>
      <c r="B1286" s="1" t="s">
        <v>160</v>
      </c>
      <c r="C1286" s="4">
        <v>6</v>
      </c>
      <c r="D1286" s="8">
        <v>1.52</v>
      </c>
      <c r="E1286" s="4">
        <v>1</v>
      </c>
      <c r="F1286" s="8">
        <v>0.61</v>
      </c>
      <c r="G1286" s="4">
        <v>5</v>
      </c>
      <c r="H1286" s="8">
        <v>2.17</v>
      </c>
      <c r="I1286" s="4">
        <v>0</v>
      </c>
    </row>
    <row r="1287" spans="1:9" x14ac:dyDescent="0.2">
      <c r="A1287" s="2">
        <v>11</v>
      </c>
      <c r="B1287" s="1" t="s">
        <v>162</v>
      </c>
      <c r="C1287" s="4">
        <v>6</v>
      </c>
      <c r="D1287" s="8">
        <v>1.52</v>
      </c>
      <c r="E1287" s="4">
        <v>4</v>
      </c>
      <c r="F1287" s="8">
        <v>2.4500000000000002</v>
      </c>
      <c r="G1287" s="4">
        <v>2</v>
      </c>
      <c r="H1287" s="8">
        <v>0.87</v>
      </c>
      <c r="I1287" s="4">
        <v>0</v>
      </c>
    </row>
    <row r="1288" spans="1:9" x14ac:dyDescent="0.2">
      <c r="A1288" s="2">
        <v>11</v>
      </c>
      <c r="B1288" s="1" t="s">
        <v>163</v>
      </c>
      <c r="C1288" s="4">
        <v>6</v>
      </c>
      <c r="D1288" s="8">
        <v>1.52</v>
      </c>
      <c r="E1288" s="4">
        <v>2</v>
      </c>
      <c r="F1288" s="8">
        <v>1.23</v>
      </c>
      <c r="G1288" s="4">
        <v>4</v>
      </c>
      <c r="H1288" s="8">
        <v>1.74</v>
      </c>
      <c r="I1288" s="4">
        <v>0</v>
      </c>
    </row>
    <row r="1289" spans="1:9" x14ac:dyDescent="0.2">
      <c r="A1289" s="2">
        <v>11</v>
      </c>
      <c r="B1289" s="1" t="s">
        <v>167</v>
      </c>
      <c r="C1289" s="4">
        <v>6</v>
      </c>
      <c r="D1289" s="8">
        <v>1.52</v>
      </c>
      <c r="E1289" s="4">
        <v>5</v>
      </c>
      <c r="F1289" s="8">
        <v>3.07</v>
      </c>
      <c r="G1289" s="4">
        <v>1</v>
      </c>
      <c r="H1289" s="8">
        <v>0.43</v>
      </c>
      <c r="I1289" s="4">
        <v>0</v>
      </c>
    </row>
    <row r="1290" spans="1:9" x14ac:dyDescent="0.2">
      <c r="A1290" s="2">
        <v>17</v>
      </c>
      <c r="B1290" s="1" t="s">
        <v>186</v>
      </c>
      <c r="C1290" s="4">
        <v>5</v>
      </c>
      <c r="D1290" s="8">
        <v>1.27</v>
      </c>
      <c r="E1290" s="4">
        <v>4</v>
      </c>
      <c r="F1290" s="8">
        <v>2.4500000000000002</v>
      </c>
      <c r="G1290" s="4">
        <v>1</v>
      </c>
      <c r="H1290" s="8">
        <v>0.43</v>
      </c>
      <c r="I1290" s="4">
        <v>0</v>
      </c>
    </row>
    <row r="1291" spans="1:9" x14ac:dyDescent="0.2">
      <c r="A1291" s="2">
        <v>17</v>
      </c>
      <c r="B1291" s="1" t="s">
        <v>166</v>
      </c>
      <c r="C1291" s="4">
        <v>5</v>
      </c>
      <c r="D1291" s="8">
        <v>1.27</v>
      </c>
      <c r="E1291" s="4">
        <v>2</v>
      </c>
      <c r="F1291" s="8">
        <v>1.23</v>
      </c>
      <c r="G1291" s="4">
        <v>3</v>
      </c>
      <c r="H1291" s="8">
        <v>1.3</v>
      </c>
      <c r="I1291" s="4">
        <v>0</v>
      </c>
    </row>
    <row r="1292" spans="1:9" x14ac:dyDescent="0.2">
      <c r="A1292" s="2">
        <v>17</v>
      </c>
      <c r="B1292" s="1" t="s">
        <v>170</v>
      </c>
      <c r="C1292" s="4">
        <v>5</v>
      </c>
      <c r="D1292" s="8">
        <v>1.27</v>
      </c>
      <c r="E1292" s="4">
        <v>4</v>
      </c>
      <c r="F1292" s="8">
        <v>2.4500000000000002</v>
      </c>
      <c r="G1292" s="4">
        <v>1</v>
      </c>
      <c r="H1292" s="8">
        <v>0.43</v>
      </c>
      <c r="I1292" s="4">
        <v>0</v>
      </c>
    </row>
    <row r="1293" spans="1:9" x14ac:dyDescent="0.2">
      <c r="A1293" s="2">
        <v>17</v>
      </c>
      <c r="B1293" s="1" t="s">
        <v>171</v>
      </c>
      <c r="C1293" s="4">
        <v>5</v>
      </c>
      <c r="D1293" s="8">
        <v>1.27</v>
      </c>
      <c r="E1293" s="4">
        <v>4</v>
      </c>
      <c r="F1293" s="8">
        <v>2.4500000000000002</v>
      </c>
      <c r="G1293" s="4">
        <v>1</v>
      </c>
      <c r="H1293" s="8">
        <v>0.43</v>
      </c>
      <c r="I1293" s="4">
        <v>0</v>
      </c>
    </row>
    <row r="1294" spans="1:9" x14ac:dyDescent="0.2">
      <c r="A1294" s="2">
        <v>17</v>
      </c>
      <c r="B1294" s="1" t="s">
        <v>180</v>
      </c>
      <c r="C1294" s="4">
        <v>5</v>
      </c>
      <c r="D1294" s="8">
        <v>1.27</v>
      </c>
      <c r="E1294" s="4">
        <v>0</v>
      </c>
      <c r="F1294" s="8">
        <v>0</v>
      </c>
      <c r="G1294" s="4">
        <v>5</v>
      </c>
      <c r="H1294" s="8">
        <v>2.17</v>
      </c>
      <c r="I1294" s="4">
        <v>0</v>
      </c>
    </row>
    <row r="1295" spans="1:9" x14ac:dyDescent="0.2">
      <c r="A1295" s="1"/>
      <c r="C1295" s="4"/>
      <c r="D1295" s="8"/>
      <c r="E1295" s="4"/>
      <c r="F1295" s="8"/>
      <c r="G1295" s="4"/>
      <c r="H1295" s="8"/>
      <c r="I1295" s="4"/>
    </row>
    <row r="1296" spans="1:9" x14ac:dyDescent="0.2">
      <c r="A1296" s="1" t="s">
        <v>57</v>
      </c>
      <c r="C1296" s="4"/>
      <c r="D1296" s="8"/>
      <c r="E1296" s="4"/>
      <c r="F1296" s="8"/>
      <c r="G1296" s="4"/>
      <c r="H1296" s="8"/>
      <c r="I1296" s="4"/>
    </row>
    <row r="1297" spans="1:9" x14ac:dyDescent="0.2">
      <c r="A1297" s="2">
        <v>1</v>
      </c>
      <c r="B1297" s="1" t="s">
        <v>197</v>
      </c>
      <c r="C1297" s="4">
        <v>21</v>
      </c>
      <c r="D1297" s="8">
        <v>4.99</v>
      </c>
      <c r="E1297" s="4">
        <v>3</v>
      </c>
      <c r="F1297" s="8">
        <v>1.83</v>
      </c>
      <c r="G1297" s="4">
        <v>18</v>
      </c>
      <c r="H1297" s="8">
        <v>7.14</v>
      </c>
      <c r="I1297" s="4">
        <v>0</v>
      </c>
    </row>
    <row r="1298" spans="1:9" x14ac:dyDescent="0.2">
      <c r="A1298" s="2">
        <v>2</v>
      </c>
      <c r="B1298" s="1" t="s">
        <v>165</v>
      </c>
      <c r="C1298" s="4">
        <v>19</v>
      </c>
      <c r="D1298" s="8">
        <v>4.51</v>
      </c>
      <c r="E1298" s="4">
        <v>18</v>
      </c>
      <c r="F1298" s="8">
        <v>10.98</v>
      </c>
      <c r="G1298" s="4">
        <v>0</v>
      </c>
      <c r="H1298" s="8">
        <v>0</v>
      </c>
      <c r="I1298" s="4">
        <v>1</v>
      </c>
    </row>
    <row r="1299" spans="1:9" x14ac:dyDescent="0.2">
      <c r="A1299" s="2">
        <v>3</v>
      </c>
      <c r="B1299" s="1" t="s">
        <v>170</v>
      </c>
      <c r="C1299" s="4">
        <v>16</v>
      </c>
      <c r="D1299" s="8">
        <v>3.8</v>
      </c>
      <c r="E1299" s="4">
        <v>12</v>
      </c>
      <c r="F1299" s="8">
        <v>7.32</v>
      </c>
      <c r="G1299" s="4">
        <v>4</v>
      </c>
      <c r="H1299" s="8">
        <v>1.59</v>
      </c>
      <c r="I1299" s="4">
        <v>0</v>
      </c>
    </row>
    <row r="1300" spans="1:9" x14ac:dyDescent="0.2">
      <c r="A1300" s="2">
        <v>4</v>
      </c>
      <c r="B1300" s="1" t="s">
        <v>168</v>
      </c>
      <c r="C1300" s="4">
        <v>14</v>
      </c>
      <c r="D1300" s="8">
        <v>3.33</v>
      </c>
      <c r="E1300" s="4">
        <v>14</v>
      </c>
      <c r="F1300" s="8">
        <v>8.5399999999999991</v>
      </c>
      <c r="G1300" s="4">
        <v>0</v>
      </c>
      <c r="H1300" s="8">
        <v>0</v>
      </c>
      <c r="I1300" s="4">
        <v>0</v>
      </c>
    </row>
    <row r="1301" spans="1:9" x14ac:dyDescent="0.2">
      <c r="A1301" s="2">
        <v>5</v>
      </c>
      <c r="B1301" s="1" t="s">
        <v>224</v>
      </c>
      <c r="C1301" s="4">
        <v>12</v>
      </c>
      <c r="D1301" s="8">
        <v>2.85</v>
      </c>
      <c r="E1301" s="4">
        <v>2</v>
      </c>
      <c r="F1301" s="8">
        <v>1.22</v>
      </c>
      <c r="G1301" s="4">
        <v>10</v>
      </c>
      <c r="H1301" s="8">
        <v>3.97</v>
      </c>
      <c r="I1301" s="4">
        <v>0</v>
      </c>
    </row>
    <row r="1302" spans="1:9" x14ac:dyDescent="0.2">
      <c r="A1302" s="2">
        <v>5</v>
      </c>
      <c r="B1302" s="1" t="s">
        <v>188</v>
      </c>
      <c r="C1302" s="4">
        <v>12</v>
      </c>
      <c r="D1302" s="8">
        <v>2.85</v>
      </c>
      <c r="E1302" s="4">
        <v>9</v>
      </c>
      <c r="F1302" s="8">
        <v>5.49</v>
      </c>
      <c r="G1302" s="4">
        <v>3</v>
      </c>
      <c r="H1302" s="8">
        <v>1.19</v>
      </c>
      <c r="I1302" s="4">
        <v>0</v>
      </c>
    </row>
    <row r="1303" spans="1:9" x14ac:dyDescent="0.2">
      <c r="A1303" s="2">
        <v>7</v>
      </c>
      <c r="B1303" s="1" t="s">
        <v>156</v>
      </c>
      <c r="C1303" s="4">
        <v>10</v>
      </c>
      <c r="D1303" s="8">
        <v>2.38</v>
      </c>
      <c r="E1303" s="4">
        <v>7</v>
      </c>
      <c r="F1303" s="8">
        <v>4.2699999999999996</v>
      </c>
      <c r="G1303" s="4">
        <v>3</v>
      </c>
      <c r="H1303" s="8">
        <v>1.19</v>
      </c>
      <c r="I1303" s="4">
        <v>0</v>
      </c>
    </row>
    <row r="1304" spans="1:9" x14ac:dyDescent="0.2">
      <c r="A1304" s="2">
        <v>8</v>
      </c>
      <c r="B1304" s="1" t="s">
        <v>152</v>
      </c>
      <c r="C1304" s="4">
        <v>9</v>
      </c>
      <c r="D1304" s="8">
        <v>2.14</v>
      </c>
      <c r="E1304" s="4">
        <v>2</v>
      </c>
      <c r="F1304" s="8">
        <v>1.22</v>
      </c>
      <c r="G1304" s="4">
        <v>7</v>
      </c>
      <c r="H1304" s="8">
        <v>2.78</v>
      </c>
      <c r="I1304" s="4">
        <v>0</v>
      </c>
    </row>
    <row r="1305" spans="1:9" x14ac:dyDescent="0.2">
      <c r="A1305" s="2">
        <v>9</v>
      </c>
      <c r="B1305" s="1" t="s">
        <v>167</v>
      </c>
      <c r="C1305" s="4">
        <v>8</v>
      </c>
      <c r="D1305" s="8">
        <v>1.9</v>
      </c>
      <c r="E1305" s="4">
        <v>8</v>
      </c>
      <c r="F1305" s="8">
        <v>4.88</v>
      </c>
      <c r="G1305" s="4">
        <v>0</v>
      </c>
      <c r="H1305" s="8">
        <v>0</v>
      </c>
      <c r="I1305" s="4">
        <v>0</v>
      </c>
    </row>
    <row r="1306" spans="1:9" x14ac:dyDescent="0.2">
      <c r="A1306" s="2">
        <v>9</v>
      </c>
      <c r="B1306" s="1" t="s">
        <v>171</v>
      </c>
      <c r="C1306" s="4">
        <v>8</v>
      </c>
      <c r="D1306" s="8">
        <v>1.9</v>
      </c>
      <c r="E1306" s="4">
        <v>6</v>
      </c>
      <c r="F1306" s="8">
        <v>3.66</v>
      </c>
      <c r="G1306" s="4">
        <v>2</v>
      </c>
      <c r="H1306" s="8">
        <v>0.79</v>
      </c>
      <c r="I1306" s="4">
        <v>0</v>
      </c>
    </row>
    <row r="1307" spans="1:9" x14ac:dyDescent="0.2">
      <c r="A1307" s="2">
        <v>11</v>
      </c>
      <c r="B1307" s="1" t="s">
        <v>217</v>
      </c>
      <c r="C1307" s="4">
        <v>7</v>
      </c>
      <c r="D1307" s="8">
        <v>1.66</v>
      </c>
      <c r="E1307" s="4">
        <v>1</v>
      </c>
      <c r="F1307" s="8">
        <v>0.61</v>
      </c>
      <c r="G1307" s="4">
        <v>6</v>
      </c>
      <c r="H1307" s="8">
        <v>2.38</v>
      </c>
      <c r="I1307" s="4">
        <v>0</v>
      </c>
    </row>
    <row r="1308" spans="1:9" x14ac:dyDescent="0.2">
      <c r="A1308" s="2">
        <v>11</v>
      </c>
      <c r="B1308" s="1" t="s">
        <v>229</v>
      </c>
      <c r="C1308" s="4">
        <v>7</v>
      </c>
      <c r="D1308" s="8">
        <v>1.66</v>
      </c>
      <c r="E1308" s="4">
        <v>3</v>
      </c>
      <c r="F1308" s="8">
        <v>1.83</v>
      </c>
      <c r="G1308" s="4">
        <v>4</v>
      </c>
      <c r="H1308" s="8">
        <v>1.59</v>
      </c>
      <c r="I1308" s="4">
        <v>0</v>
      </c>
    </row>
    <row r="1309" spans="1:9" x14ac:dyDescent="0.2">
      <c r="A1309" s="2">
        <v>11</v>
      </c>
      <c r="B1309" s="1" t="s">
        <v>191</v>
      </c>
      <c r="C1309" s="4">
        <v>7</v>
      </c>
      <c r="D1309" s="8">
        <v>1.66</v>
      </c>
      <c r="E1309" s="4">
        <v>1</v>
      </c>
      <c r="F1309" s="8">
        <v>0.61</v>
      </c>
      <c r="G1309" s="4">
        <v>6</v>
      </c>
      <c r="H1309" s="8">
        <v>2.38</v>
      </c>
      <c r="I1309" s="4">
        <v>0</v>
      </c>
    </row>
    <row r="1310" spans="1:9" x14ac:dyDescent="0.2">
      <c r="A1310" s="2">
        <v>14</v>
      </c>
      <c r="B1310" s="1" t="s">
        <v>154</v>
      </c>
      <c r="C1310" s="4">
        <v>6</v>
      </c>
      <c r="D1310" s="8">
        <v>1.43</v>
      </c>
      <c r="E1310" s="4">
        <v>0</v>
      </c>
      <c r="F1310" s="8">
        <v>0</v>
      </c>
      <c r="G1310" s="4">
        <v>6</v>
      </c>
      <c r="H1310" s="8">
        <v>2.38</v>
      </c>
      <c r="I1310" s="4">
        <v>0</v>
      </c>
    </row>
    <row r="1311" spans="1:9" x14ac:dyDescent="0.2">
      <c r="A1311" s="2">
        <v>14</v>
      </c>
      <c r="B1311" s="1" t="s">
        <v>155</v>
      </c>
      <c r="C1311" s="4">
        <v>6</v>
      </c>
      <c r="D1311" s="8">
        <v>1.43</v>
      </c>
      <c r="E1311" s="4">
        <v>0</v>
      </c>
      <c r="F1311" s="8">
        <v>0</v>
      </c>
      <c r="G1311" s="4">
        <v>6</v>
      </c>
      <c r="H1311" s="8">
        <v>2.38</v>
      </c>
      <c r="I1311" s="4">
        <v>0</v>
      </c>
    </row>
    <row r="1312" spans="1:9" x14ac:dyDescent="0.2">
      <c r="A1312" s="2">
        <v>14</v>
      </c>
      <c r="B1312" s="1" t="s">
        <v>196</v>
      </c>
      <c r="C1312" s="4">
        <v>6</v>
      </c>
      <c r="D1312" s="8">
        <v>1.43</v>
      </c>
      <c r="E1312" s="4">
        <v>1</v>
      </c>
      <c r="F1312" s="8">
        <v>0.61</v>
      </c>
      <c r="G1312" s="4">
        <v>5</v>
      </c>
      <c r="H1312" s="8">
        <v>1.98</v>
      </c>
      <c r="I1312" s="4">
        <v>0</v>
      </c>
    </row>
    <row r="1313" spans="1:9" x14ac:dyDescent="0.2">
      <c r="A1313" s="2">
        <v>14</v>
      </c>
      <c r="B1313" s="1" t="s">
        <v>157</v>
      </c>
      <c r="C1313" s="4">
        <v>6</v>
      </c>
      <c r="D1313" s="8">
        <v>1.43</v>
      </c>
      <c r="E1313" s="4">
        <v>2</v>
      </c>
      <c r="F1313" s="8">
        <v>1.22</v>
      </c>
      <c r="G1313" s="4">
        <v>4</v>
      </c>
      <c r="H1313" s="8">
        <v>1.59</v>
      </c>
      <c r="I1313" s="4">
        <v>0</v>
      </c>
    </row>
    <row r="1314" spans="1:9" x14ac:dyDescent="0.2">
      <c r="A1314" s="2">
        <v>14</v>
      </c>
      <c r="B1314" s="1" t="s">
        <v>192</v>
      </c>
      <c r="C1314" s="4">
        <v>6</v>
      </c>
      <c r="D1314" s="8">
        <v>1.43</v>
      </c>
      <c r="E1314" s="4">
        <v>4</v>
      </c>
      <c r="F1314" s="8">
        <v>2.44</v>
      </c>
      <c r="G1314" s="4">
        <v>2</v>
      </c>
      <c r="H1314" s="8">
        <v>0.79</v>
      </c>
      <c r="I1314" s="4">
        <v>0</v>
      </c>
    </row>
    <row r="1315" spans="1:9" x14ac:dyDescent="0.2">
      <c r="A1315" s="2">
        <v>19</v>
      </c>
      <c r="B1315" s="1" t="s">
        <v>205</v>
      </c>
      <c r="C1315" s="4">
        <v>5</v>
      </c>
      <c r="D1315" s="8">
        <v>1.19</v>
      </c>
      <c r="E1315" s="4">
        <v>2</v>
      </c>
      <c r="F1315" s="8">
        <v>1.22</v>
      </c>
      <c r="G1315" s="4">
        <v>3</v>
      </c>
      <c r="H1315" s="8">
        <v>1.19</v>
      </c>
      <c r="I1315" s="4">
        <v>0</v>
      </c>
    </row>
    <row r="1316" spans="1:9" x14ac:dyDescent="0.2">
      <c r="A1316" s="2">
        <v>19</v>
      </c>
      <c r="B1316" s="1" t="s">
        <v>216</v>
      </c>
      <c r="C1316" s="4">
        <v>5</v>
      </c>
      <c r="D1316" s="8">
        <v>1.19</v>
      </c>
      <c r="E1316" s="4">
        <v>0</v>
      </c>
      <c r="F1316" s="8">
        <v>0</v>
      </c>
      <c r="G1316" s="4">
        <v>5</v>
      </c>
      <c r="H1316" s="8">
        <v>1.98</v>
      </c>
      <c r="I1316" s="4">
        <v>0</v>
      </c>
    </row>
    <row r="1317" spans="1:9" x14ac:dyDescent="0.2">
      <c r="A1317" s="2">
        <v>19</v>
      </c>
      <c r="B1317" s="1" t="s">
        <v>158</v>
      </c>
      <c r="C1317" s="4">
        <v>5</v>
      </c>
      <c r="D1317" s="8">
        <v>1.19</v>
      </c>
      <c r="E1317" s="4">
        <v>1</v>
      </c>
      <c r="F1317" s="8">
        <v>0.61</v>
      </c>
      <c r="G1317" s="4">
        <v>4</v>
      </c>
      <c r="H1317" s="8">
        <v>1.59</v>
      </c>
      <c r="I1317" s="4">
        <v>0</v>
      </c>
    </row>
    <row r="1318" spans="1:9" x14ac:dyDescent="0.2">
      <c r="A1318" s="2">
        <v>19</v>
      </c>
      <c r="B1318" s="1" t="s">
        <v>163</v>
      </c>
      <c r="C1318" s="4">
        <v>5</v>
      </c>
      <c r="D1318" s="8">
        <v>1.19</v>
      </c>
      <c r="E1318" s="4">
        <v>2</v>
      </c>
      <c r="F1318" s="8">
        <v>1.22</v>
      </c>
      <c r="G1318" s="4">
        <v>3</v>
      </c>
      <c r="H1318" s="8">
        <v>1.19</v>
      </c>
      <c r="I1318" s="4">
        <v>0</v>
      </c>
    </row>
    <row r="1319" spans="1:9" x14ac:dyDescent="0.2">
      <c r="A1319" s="2">
        <v>19</v>
      </c>
      <c r="B1319" s="1" t="s">
        <v>226</v>
      </c>
      <c r="C1319" s="4">
        <v>5</v>
      </c>
      <c r="D1319" s="8">
        <v>1.19</v>
      </c>
      <c r="E1319" s="4">
        <v>0</v>
      </c>
      <c r="F1319" s="8">
        <v>0</v>
      </c>
      <c r="G1319" s="4">
        <v>2</v>
      </c>
      <c r="H1319" s="8">
        <v>0.79</v>
      </c>
      <c r="I1319" s="4">
        <v>0</v>
      </c>
    </row>
    <row r="1320" spans="1:9" x14ac:dyDescent="0.2">
      <c r="A1320" s="1"/>
      <c r="C1320" s="4"/>
      <c r="D1320" s="8"/>
      <c r="E1320" s="4"/>
      <c r="F1320" s="8"/>
      <c r="G1320" s="4"/>
      <c r="H1320" s="8"/>
      <c r="I1320" s="4"/>
    </row>
    <row r="1321" spans="1:9" x14ac:dyDescent="0.2">
      <c r="A1321" s="1" t="s">
        <v>58</v>
      </c>
      <c r="C1321" s="4"/>
      <c r="D1321" s="8"/>
      <c r="E1321" s="4"/>
      <c r="F1321" s="8"/>
      <c r="G1321" s="4"/>
      <c r="H1321" s="8"/>
      <c r="I1321" s="4"/>
    </row>
    <row r="1322" spans="1:9" x14ac:dyDescent="0.2">
      <c r="A1322" s="2">
        <v>1</v>
      </c>
      <c r="B1322" s="1" t="s">
        <v>161</v>
      </c>
      <c r="C1322" s="4">
        <v>33</v>
      </c>
      <c r="D1322" s="8">
        <v>5.71</v>
      </c>
      <c r="E1322" s="4">
        <v>26</v>
      </c>
      <c r="F1322" s="8">
        <v>7.43</v>
      </c>
      <c r="G1322" s="4">
        <v>7</v>
      </c>
      <c r="H1322" s="8">
        <v>3.2</v>
      </c>
      <c r="I1322" s="4">
        <v>0</v>
      </c>
    </row>
    <row r="1323" spans="1:9" x14ac:dyDescent="0.2">
      <c r="A1323" s="2">
        <v>2</v>
      </c>
      <c r="B1323" s="1" t="s">
        <v>168</v>
      </c>
      <c r="C1323" s="4">
        <v>31</v>
      </c>
      <c r="D1323" s="8">
        <v>5.36</v>
      </c>
      <c r="E1323" s="4">
        <v>28</v>
      </c>
      <c r="F1323" s="8">
        <v>8</v>
      </c>
      <c r="G1323" s="4">
        <v>3</v>
      </c>
      <c r="H1323" s="8">
        <v>1.37</v>
      </c>
      <c r="I1323" s="4">
        <v>0</v>
      </c>
    </row>
    <row r="1324" spans="1:9" x14ac:dyDescent="0.2">
      <c r="A1324" s="2">
        <v>3</v>
      </c>
      <c r="B1324" s="1" t="s">
        <v>170</v>
      </c>
      <c r="C1324" s="4">
        <v>27</v>
      </c>
      <c r="D1324" s="8">
        <v>4.67</v>
      </c>
      <c r="E1324" s="4">
        <v>23</v>
      </c>
      <c r="F1324" s="8">
        <v>6.57</v>
      </c>
      <c r="G1324" s="4">
        <v>4</v>
      </c>
      <c r="H1324" s="8">
        <v>1.83</v>
      </c>
      <c r="I1324" s="4">
        <v>0</v>
      </c>
    </row>
    <row r="1325" spans="1:9" x14ac:dyDescent="0.2">
      <c r="A1325" s="2">
        <v>4</v>
      </c>
      <c r="B1325" s="1" t="s">
        <v>171</v>
      </c>
      <c r="C1325" s="4">
        <v>23</v>
      </c>
      <c r="D1325" s="8">
        <v>3.98</v>
      </c>
      <c r="E1325" s="4">
        <v>22</v>
      </c>
      <c r="F1325" s="8">
        <v>6.29</v>
      </c>
      <c r="G1325" s="4">
        <v>1</v>
      </c>
      <c r="H1325" s="8">
        <v>0.46</v>
      </c>
      <c r="I1325" s="4">
        <v>0</v>
      </c>
    </row>
    <row r="1326" spans="1:9" x14ac:dyDescent="0.2">
      <c r="A1326" s="2">
        <v>5</v>
      </c>
      <c r="B1326" s="1" t="s">
        <v>165</v>
      </c>
      <c r="C1326" s="4">
        <v>22</v>
      </c>
      <c r="D1326" s="8">
        <v>3.81</v>
      </c>
      <c r="E1326" s="4">
        <v>21</v>
      </c>
      <c r="F1326" s="8">
        <v>6</v>
      </c>
      <c r="G1326" s="4">
        <v>1</v>
      </c>
      <c r="H1326" s="8">
        <v>0.46</v>
      </c>
      <c r="I1326" s="4">
        <v>0</v>
      </c>
    </row>
    <row r="1327" spans="1:9" x14ac:dyDescent="0.2">
      <c r="A1327" s="2">
        <v>6</v>
      </c>
      <c r="B1327" s="1" t="s">
        <v>167</v>
      </c>
      <c r="C1327" s="4">
        <v>21</v>
      </c>
      <c r="D1327" s="8">
        <v>3.63</v>
      </c>
      <c r="E1327" s="4">
        <v>20</v>
      </c>
      <c r="F1327" s="8">
        <v>5.71</v>
      </c>
      <c r="G1327" s="4">
        <v>1</v>
      </c>
      <c r="H1327" s="8">
        <v>0.46</v>
      </c>
      <c r="I1327" s="4">
        <v>0</v>
      </c>
    </row>
    <row r="1328" spans="1:9" x14ac:dyDescent="0.2">
      <c r="A1328" s="2">
        <v>7</v>
      </c>
      <c r="B1328" s="1" t="s">
        <v>163</v>
      </c>
      <c r="C1328" s="4">
        <v>20</v>
      </c>
      <c r="D1328" s="8">
        <v>3.46</v>
      </c>
      <c r="E1328" s="4">
        <v>17</v>
      </c>
      <c r="F1328" s="8">
        <v>4.8600000000000003</v>
      </c>
      <c r="G1328" s="4">
        <v>3</v>
      </c>
      <c r="H1328" s="8">
        <v>1.37</v>
      </c>
      <c r="I1328" s="4">
        <v>0</v>
      </c>
    </row>
    <row r="1329" spans="1:9" x14ac:dyDescent="0.2">
      <c r="A1329" s="2">
        <v>8</v>
      </c>
      <c r="B1329" s="1" t="s">
        <v>164</v>
      </c>
      <c r="C1329" s="4">
        <v>19</v>
      </c>
      <c r="D1329" s="8">
        <v>3.29</v>
      </c>
      <c r="E1329" s="4">
        <v>19</v>
      </c>
      <c r="F1329" s="8">
        <v>5.43</v>
      </c>
      <c r="G1329" s="4">
        <v>0</v>
      </c>
      <c r="H1329" s="8">
        <v>0</v>
      </c>
      <c r="I1329" s="4">
        <v>0</v>
      </c>
    </row>
    <row r="1330" spans="1:9" x14ac:dyDescent="0.2">
      <c r="A1330" s="2">
        <v>9</v>
      </c>
      <c r="B1330" s="1" t="s">
        <v>156</v>
      </c>
      <c r="C1330" s="4">
        <v>11</v>
      </c>
      <c r="D1330" s="8">
        <v>1.9</v>
      </c>
      <c r="E1330" s="4">
        <v>4</v>
      </c>
      <c r="F1330" s="8">
        <v>1.1399999999999999</v>
      </c>
      <c r="G1330" s="4">
        <v>7</v>
      </c>
      <c r="H1330" s="8">
        <v>3.2</v>
      </c>
      <c r="I1330" s="4">
        <v>0</v>
      </c>
    </row>
    <row r="1331" spans="1:9" x14ac:dyDescent="0.2">
      <c r="A1331" s="2">
        <v>9</v>
      </c>
      <c r="B1331" s="1" t="s">
        <v>158</v>
      </c>
      <c r="C1331" s="4">
        <v>11</v>
      </c>
      <c r="D1331" s="8">
        <v>1.9</v>
      </c>
      <c r="E1331" s="4">
        <v>7</v>
      </c>
      <c r="F1331" s="8">
        <v>2</v>
      </c>
      <c r="G1331" s="4">
        <v>4</v>
      </c>
      <c r="H1331" s="8">
        <v>1.83</v>
      </c>
      <c r="I1331" s="4">
        <v>0</v>
      </c>
    </row>
    <row r="1332" spans="1:9" x14ac:dyDescent="0.2">
      <c r="A1332" s="2">
        <v>11</v>
      </c>
      <c r="B1332" s="1" t="s">
        <v>179</v>
      </c>
      <c r="C1332" s="4">
        <v>10</v>
      </c>
      <c r="D1332" s="8">
        <v>1.73</v>
      </c>
      <c r="E1332" s="4">
        <v>7</v>
      </c>
      <c r="F1332" s="8">
        <v>2</v>
      </c>
      <c r="G1332" s="4">
        <v>3</v>
      </c>
      <c r="H1332" s="8">
        <v>1.37</v>
      </c>
      <c r="I1332" s="4">
        <v>0</v>
      </c>
    </row>
    <row r="1333" spans="1:9" x14ac:dyDescent="0.2">
      <c r="A1333" s="2">
        <v>12</v>
      </c>
      <c r="B1333" s="1" t="s">
        <v>162</v>
      </c>
      <c r="C1333" s="4">
        <v>9</v>
      </c>
      <c r="D1333" s="8">
        <v>1.56</v>
      </c>
      <c r="E1333" s="4">
        <v>7</v>
      </c>
      <c r="F1333" s="8">
        <v>2</v>
      </c>
      <c r="G1333" s="4">
        <v>2</v>
      </c>
      <c r="H1333" s="8">
        <v>0.91</v>
      </c>
      <c r="I1333" s="4">
        <v>0</v>
      </c>
    </row>
    <row r="1334" spans="1:9" x14ac:dyDescent="0.2">
      <c r="A1334" s="2">
        <v>13</v>
      </c>
      <c r="B1334" s="1" t="s">
        <v>191</v>
      </c>
      <c r="C1334" s="4">
        <v>8</v>
      </c>
      <c r="D1334" s="8">
        <v>1.38</v>
      </c>
      <c r="E1334" s="4">
        <v>3</v>
      </c>
      <c r="F1334" s="8">
        <v>0.86</v>
      </c>
      <c r="G1334" s="4">
        <v>5</v>
      </c>
      <c r="H1334" s="8">
        <v>2.2799999999999998</v>
      </c>
      <c r="I1334" s="4">
        <v>0</v>
      </c>
    </row>
    <row r="1335" spans="1:9" x14ac:dyDescent="0.2">
      <c r="A1335" s="2">
        <v>13</v>
      </c>
      <c r="B1335" s="1" t="s">
        <v>182</v>
      </c>
      <c r="C1335" s="4">
        <v>8</v>
      </c>
      <c r="D1335" s="8">
        <v>1.38</v>
      </c>
      <c r="E1335" s="4">
        <v>8</v>
      </c>
      <c r="F1335" s="8">
        <v>2.29</v>
      </c>
      <c r="G1335" s="4">
        <v>0</v>
      </c>
      <c r="H1335" s="8">
        <v>0</v>
      </c>
      <c r="I1335" s="4">
        <v>0</v>
      </c>
    </row>
    <row r="1336" spans="1:9" x14ac:dyDescent="0.2">
      <c r="A1336" s="2">
        <v>13</v>
      </c>
      <c r="B1336" s="1" t="s">
        <v>166</v>
      </c>
      <c r="C1336" s="4">
        <v>8</v>
      </c>
      <c r="D1336" s="8">
        <v>1.38</v>
      </c>
      <c r="E1336" s="4">
        <v>4</v>
      </c>
      <c r="F1336" s="8">
        <v>1.1399999999999999</v>
      </c>
      <c r="G1336" s="4">
        <v>4</v>
      </c>
      <c r="H1336" s="8">
        <v>1.83</v>
      </c>
      <c r="I1336" s="4">
        <v>0</v>
      </c>
    </row>
    <row r="1337" spans="1:9" x14ac:dyDescent="0.2">
      <c r="A1337" s="2">
        <v>13</v>
      </c>
      <c r="B1337" s="1" t="s">
        <v>230</v>
      </c>
      <c r="C1337" s="4">
        <v>8</v>
      </c>
      <c r="D1337" s="8">
        <v>1.38</v>
      </c>
      <c r="E1337" s="4">
        <v>0</v>
      </c>
      <c r="F1337" s="8">
        <v>0</v>
      </c>
      <c r="G1337" s="4">
        <v>0</v>
      </c>
      <c r="H1337" s="8">
        <v>0</v>
      </c>
      <c r="I1337" s="4">
        <v>0</v>
      </c>
    </row>
    <row r="1338" spans="1:9" x14ac:dyDescent="0.2">
      <c r="A1338" s="2">
        <v>13</v>
      </c>
      <c r="B1338" s="1" t="s">
        <v>169</v>
      </c>
      <c r="C1338" s="4">
        <v>8</v>
      </c>
      <c r="D1338" s="8">
        <v>1.38</v>
      </c>
      <c r="E1338" s="4">
        <v>8</v>
      </c>
      <c r="F1338" s="8">
        <v>2.29</v>
      </c>
      <c r="G1338" s="4">
        <v>0</v>
      </c>
      <c r="H1338" s="8">
        <v>0</v>
      </c>
      <c r="I1338" s="4">
        <v>0</v>
      </c>
    </row>
    <row r="1339" spans="1:9" x14ac:dyDescent="0.2">
      <c r="A1339" s="2">
        <v>18</v>
      </c>
      <c r="B1339" s="1" t="s">
        <v>197</v>
      </c>
      <c r="C1339" s="4">
        <v>7</v>
      </c>
      <c r="D1339" s="8">
        <v>1.21</v>
      </c>
      <c r="E1339" s="4">
        <v>0</v>
      </c>
      <c r="F1339" s="8">
        <v>0</v>
      </c>
      <c r="G1339" s="4">
        <v>7</v>
      </c>
      <c r="H1339" s="8">
        <v>3.2</v>
      </c>
      <c r="I1339" s="4">
        <v>0</v>
      </c>
    </row>
    <row r="1340" spans="1:9" x14ac:dyDescent="0.2">
      <c r="A1340" s="2">
        <v>18</v>
      </c>
      <c r="B1340" s="1" t="s">
        <v>186</v>
      </c>
      <c r="C1340" s="4">
        <v>7</v>
      </c>
      <c r="D1340" s="8">
        <v>1.21</v>
      </c>
      <c r="E1340" s="4">
        <v>5</v>
      </c>
      <c r="F1340" s="8">
        <v>1.43</v>
      </c>
      <c r="G1340" s="4">
        <v>2</v>
      </c>
      <c r="H1340" s="8">
        <v>0.91</v>
      </c>
      <c r="I1340" s="4">
        <v>0</v>
      </c>
    </row>
    <row r="1341" spans="1:9" x14ac:dyDescent="0.2">
      <c r="A1341" s="2">
        <v>18</v>
      </c>
      <c r="B1341" s="1" t="s">
        <v>157</v>
      </c>
      <c r="C1341" s="4">
        <v>7</v>
      </c>
      <c r="D1341" s="8">
        <v>1.21</v>
      </c>
      <c r="E1341" s="4">
        <v>3</v>
      </c>
      <c r="F1341" s="8">
        <v>0.86</v>
      </c>
      <c r="G1341" s="4">
        <v>4</v>
      </c>
      <c r="H1341" s="8">
        <v>1.83</v>
      </c>
      <c r="I1341" s="4">
        <v>0</v>
      </c>
    </row>
    <row r="1342" spans="1:9" x14ac:dyDescent="0.2">
      <c r="A1342" s="1"/>
      <c r="C1342" s="4"/>
      <c r="D1342" s="8"/>
      <c r="E1342" s="4"/>
      <c r="F1342" s="8"/>
      <c r="G1342" s="4"/>
      <c r="H1342" s="8"/>
      <c r="I1342" s="4"/>
    </row>
    <row r="1343" spans="1:9" x14ac:dyDescent="0.2">
      <c r="A1343" s="1" t="s">
        <v>59</v>
      </c>
      <c r="C1343" s="4"/>
      <c r="D1343" s="8"/>
      <c r="E1343" s="4"/>
      <c r="F1343" s="8"/>
      <c r="G1343" s="4"/>
      <c r="H1343" s="8"/>
      <c r="I1343" s="4"/>
    </row>
    <row r="1344" spans="1:9" x14ac:dyDescent="0.2">
      <c r="A1344" s="2">
        <v>1</v>
      </c>
      <c r="B1344" s="1" t="s">
        <v>161</v>
      </c>
      <c r="C1344" s="4">
        <v>70</v>
      </c>
      <c r="D1344" s="8">
        <v>11.88</v>
      </c>
      <c r="E1344" s="4">
        <v>57</v>
      </c>
      <c r="F1344" s="8">
        <v>20.14</v>
      </c>
      <c r="G1344" s="4">
        <v>13</v>
      </c>
      <c r="H1344" s="8">
        <v>4.29</v>
      </c>
      <c r="I1344" s="4">
        <v>0</v>
      </c>
    </row>
    <row r="1345" spans="1:9" x14ac:dyDescent="0.2">
      <c r="A1345" s="2">
        <v>2</v>
      </c>
      <c r="B1345" s="1" t="s">
        <v>154</v>
      </c>
      <c r="C1345" s="4">
        <v>19</v>
      </c>
      <c r="D1345" s="8">
        <v>3.23</v>
      </c>
      <c r="E1345" s="4">
        <v>1</v>
      </c>
      <c r="F1345" s="8">
        <v>0.35</v>
      </c>
      <c r="G1345" s="4">
        <v>18</v>
      </c>
      <c r="H1345" s="8">
        <v>5.94</v>
      </c>
      <c r="I1345" s="4">
        <v>0</v>
      </c>
    </row>
    <row r="1346" spans="1:9" x14ac:dyDescent="0.2">
      <c r="A1346" s="2">
        <v>3</v>
      </c>
      <c r="B1346" s="1" t="s">
        <v>168</v>
      </c>
      <c r="C1346" s="4">
        <v>18</v>
      </c>
      <c r="D1346" s="8">
        <v>3.06</v>
      </c>
      <c r="E1346" s="4">
        <v>15</v>
      </c>
      <c r="F1346" s="8">
        <v>5.3</v>
      </c>
      <c r="G1346" s="4">
        <v>3</v>
      </c>
      <c r="H1346" s="8">
        <v>0.99</v>
      </c>
      <c r="I1346" s="4">
        <v>0</v>
      </c>
    </row>
    <row r="1347" spans="1:9" x14ac:dyDescent="0.2">
      <c r="A1347" s="2">
        <v>4</v>
      </c>
      <c r="B1347" s="1" t="s">
        <v>170</v>
      </c>
      <c r="C1347" s="4">
        <v>17</v>
      </c>
      <c r="D1347" s="8">
        <v>2.89</v>
      </c>
      <c r="E1347" s="4">
        <v>13</v>
      </c>
      <c r="F1347" s="8">
        <v>4.59</v>
      </c>
      <c r="G1347" s="4">
        <v>2</v>
      </c>
      <c r="H1347" s="8">
        <v>0.66</v>
      </c>
      <c r="I1347" s="4">
        <v>2</v>
      </c>
    </row>
    <row r="1348" spans="1:9" x14ac:dyDescent="0.2">
      <c r="A1348" s="2">
        <v>5</v>
      </c>
      <c r="B1348" s="1" t="s">
        <v>165</v>
      </c>
      <c r="C1348" s="4">
        <v>14</v>
      </c>
      <c r="D1348" s="8">
        <v>2.38</v>
      </c>
      <c r="E1348" s="4">
        <v>13</v>
      </c>
      <c r="F1348" s="8">
        <v>4.59</v>
      </c>
      <c r="G1348" s="4">
        <v>1</v>
      </c>
      <c r="H1348" s="8">
        <v>0.33</v>
      </c>
      <c r="I1348" s="4">
        <v>0</v>
      </c>
    </row>
    <row r="1349" spans="1:9" x14ac:dyDescent="0.2">
      <c r="A1349" s="2">
        <v>6</v>
      </c>
      <c r="B1349" s="1" t="s">
        <v>160</v>
      </c>
      <c r="C1349" s="4">
        <v>13</v>
      </c>
      <c r="D1349" s="8">
        <v>2.21</v>
      </c>
      <c r="E1349" s="4">
        <v>6</v>
      </c>
      <c r="F1349" s="8">
        <v>2.12</v>
      </c>
      <c r="G1349" s="4">
        <v>7</v>
      </c>
      <c r="H1349" s="8">
        <v>2.31</v>
      </c>
      <c r="I1349" s="4">
        <v>0</v>
      </c>
    </row>
    <row r="1350" spans="1:9" x14ac:dyDescent="0.2">
      <c r="A1350" s="2">
        <v>7</v>
      </c>
      <c r="B1350" s="1" t="s">
        <v>184</v>
      </c>
      <c r="C1350" s="4">
        <v>12</v>
      </c>
      <c r="D1350" s="8">
        <v>2.04</v>
      </c>
      <c r="E1350" s="4">
        <v>1</v>
      </c>
      <c r="F1350" s="8">
        <v>0.35</v>
      </c>
      <c r="G1350" s="4">
        <v>11</v>
      </c>
      <c r="H1350" s="8">
        <v>3.63</v>
      </c>
      <c r="I1350" s="4">
        <v>0</v>
      </c>
    </row>
    <row r="1351" spans="1:9" x14ac:dyDescent="0.2">
      <c r="A1351" s="2">
        <v>7</v>
      </c>
      <c r="B1351" s="1" t="s">
        <v>164</v>
      </c>
      <c r="C1351" s="4">
        <v>12</v>
      </c>
      <c r="D1351" s="8">
        <v>2.04</v>
      </c>
      <c r="E1351" s="4">
        <v>12</v>
      </c>
      <c r="F1351" s="8">
        <v>4.24</v>
      </c>
      <c r="G1351" s="4">
        <v>0</v>
      </c>
      <c r="H1351" s="8">
        <v>0</v>
      </c>
      <c r="I1351" s="4">
        <v>0</v>
      </c>
    </row>
    <row r="1352" spans="1:9" x14ac:dyDescent="0.2">
      <c r="A1352" s="2">
        <v>7</v>
      </c>
      <c r="B1352" s="1" t="s">
        <v>167</v>
      </c>
      <c r="C1352" s="4">
        <v>12</v>
      </c>
      <c r="D1352" s="8">
        <v>2.04</v>
      </c>
      <c r="E1352" s="4">
        <v>12</v>
      </c>
      <c r="F1352" s="8">
        <v>4.24</v>
      </c>
      <c r="G1352" s="4">
        <v>0</v>
      </c>
      <c r="H1352" s="8">
        <v>0</v>
      </c>
      <c r="I1352" s="4">
        <v>0</v>
      </c>
    </row>
    <row r="1353" spans="1:9" x14ac:dyDescent="0.2">
      <c r="A1353" s="2">
        <v>10</v>
      </c>
      <c r="B1353" s="1" t="s">
        <v>155</v>
      </c>
      <c r="C1353" s="4">
        <v>11</v>
      </c>
      <c r="D1353" s="8">
        <v>1.87</v>
      </c>
      <c r="E1353" s="4">
        <v>0</v>
      </c>
      <c r="F1353" s="8">
        <v>0</v>
      </c>
      <c r="G1353" s="4">
        <v>11</v>
      </c>
      <c r="H1353" s="8">
        <v>3.63</v>
      </c>
      <c r="I1353" s="4">
        <v>0</v>
      </c>
    </row>
    <row r="1354" spans="1:9" x14ac:dyDescent="0.2">
      <c r="A1354" s="2">
        <v>10</v>
      </c>
      <c r="B1354" s="1" t="s">
        <v>156</v>
      </c>
      <c r="C1354" s="4">
        <v>11</v>
      </c>
      <c r="D1354" s="8">
        <v>1.87</v>
      </c>
      <c r="E1354" s="4">
        <v>8</v>
      </c>
      <c r="F1354" s="8">
        <v>2.83</v>
      </c>
      <c r="G1354" s="4">
        <v>3</v>
      </c>
      <c r="H1354" s="8">
        <v>0.99</v>
      </c>
      <c r="I1354" s="4">
        <v>0</v>
      </c>
    </row>
    <row r="1355" spans="1:9" x14ac:dyDescent="0.2">
      <c r="A1355" s="2">
        <v>12</v>
      </c>
      <c r="B1355" s="1" t="s">
        <v>166</v>
      </c>
      <c r="C1355" s="4">
        <v>10</v>
      </c>
      <c r="D1355" s="8">
        <v>1.7</v>
      </c>
      <c r="E1355" s="4">
        <v>6</v>
      </c>
      <c r="F1355" s="8">
        <v>2.12</v>
      </c>
      <c r="G1355" s="4">
        <v>4</v>
      </c>
      <c r="H1355" s="8">
        <v>1.32</v>
      </c>
      <c r="I1355" s="4">
        <v>0</v>
      </c>
    </row>
    <row r="1356" spans="1:9" x14ac:dyDescent="0.2">
      <c r="A1356" s="2">
        <v>13</v>
      </c>
      <c r="B1356" s="1" t="s">
        <v>152</v>
      </c>
      <c r="C1356" s="4">
        <v>9</v>
      </c>
      <c r="D1356" s="8">
        <v>1.53</v>
      </c>
      <c r="E1356" s="4">
        <v>2</v>
      </c>
      <c r="F1356" s="8">
        <v>0.71</v>
      </c>
      <c r="G1356" s="4">
        <v>7</v>
      </c>
      <c r="H1356" s="8">
        <v>2.31</v>
      </c>
      <c r="I1356" s="4">
        <v>0</v>
      </c>
    </row>
    <row r="1357" spans="1:9" x14ac:dyDescent="0.2">
      <c r="A1357" s="2">
        <v>13</v>
      </c>
      <c r="B1357" s="1" t="s">
        <v>199</v>
      </c>
      <c r="C1357" s="4">
        <v>9</v>
      </c>
      <c r="D1357" s="8">
        <v>1.53</v>
      </c>
      <c r="E1357" s="4">
        <v>0</v>
      </c>
      <c r="F1357" s="8">
        <v>0</v>
      </c>
      <c r="G1357" s="4">
        <v>9</v>
      </c>
      <c r="H1357" s="8">
        <v>2.97</v>
      </c>
      <c r="I1357" s="4">
        <v>0</v>
      </c>
    </row>
    <row r="1358" spans="1:9" x14ac:dyDescent="0.2">
      <c r="A1358" s="2">
        <v>13</v>
      </c>
      <c r="B1358" s="1" t="s">
        <v>169</v>
      </c>
      <c r="C1358" s="4">
        <v>9</v>
      </c>
      <c r="D1358" s="8">
        <v>1.53</v>
      </c>
      <c r="E1358" s="4">
        <v>7</v>
      </c>
      <c r="F1358" s="8">
        <v>2.4700000000000002</v>
      </c>
      <c r="G1358" s="4">
        <v>2</v>
      </c>
      <c r="H1358" s="8">
        <v>0.66</v>
      </c>
      <c r="I1358" s="4">
        <v>0</v>
      </c>
    </row>
    <row r="1359" spans="1:9" x14ac:dyDescent="0.2">
      <c r="A1359" s="2">
        <v>13</v>
      </c>
      <c r="B1359" s="1" t="s">
        <v>188</v>
      </c>
      <c r="C1359" s="4">
        <v>9</v>
      </c>
      <c r="D1359" s="8">
        <v>1.53</v>
      </c>
      <c r="E1359" s="4">
        <v>6</v>
      </c>
      <c r="F1359" s="8">
        <v>2.12</v>
      </c>
      <c r="G1359" s="4">
        <v>3</v>
      </c>
      <c r="H1359" s="8">
        <v>0.99</v>
      </c>
      <c r="I1359" s="4">
        <v>0</v>
      </c>
    </row>
    <row r="1360" spans="1:9" x14ac:dyDescent="0.2">
      <c r="A1360" s="2">
        <v>17</v>
      </c>
      <c r="B1360" s="1" t="s">
        <v>231</v>
      </c>
      <c r="C1360" s="4">
        <v>8</v>
      </c>
      <c r="D1360" s="8">
        <v>1.36</v>
      </c>
      <c r="E1360" s="4">
        <v>0</v>
      </c>
      <c r="F1360" s="8">
        <v>0</v>
      </c>
      <c r="G1360" s="4">
        <v>8</v>
      </c>
      <c r="H1360" s="8">
        <v>2.64</v>
      </c>
      <c r="I1360" s="4">
        <v>0</v>
      </c>
    </row>
    <row r="1361" spans="1:9" x14ac:dyDescent="0.2">
      <c r="A1361" s="2">
        <v>17</v>
      </c>
      <c r="B1361" s="1" t="s">
        <v>157</v>
      </c>
      <c r="C1361" s="4">
        <v>8</v>
      </c>
      <c r="D1361" s="8">
        <v>1.36</v>
      </c>
      <c r="E1361" s="4">
        <v>3</v>
      </c>
      <c r="F1361" s="8">
        <v>1.06</v>
      </c>
      <c r="G1361" s="4">
        <v>5</v>
      </c>
      <c r="H1361" s="8">
        <v>1.65</v>
      </c>
      <c r="I1361" s="4">
        <v>0</v>
      </c>
    </row>
    <row r="1362" spans="1:9" x14ac:dyDescent="0.2">
      <c r="A1362" s="2">
        <v>17</v>
      </c>
      <c r="B1362" s="1" t="s">
        <v>158</v>
      </c>
      <c r="C1362" s="4">
        <v>8</v>
      </c>
      <c r="D1362" s="8">
        <v>1.36</v>
      </c>
      <c r="E1362" s="4">
        <v>8</v>
      </c>
      <c r="F1362" s="8">
        <v>2.83</v>
      </c>
      <c r="G1362" s="4">
        <v>0</v>
      </c>
      <c r="H1362" s="8">
        <v>0</v>
      </c>
      <c r="I1362" s="4">
        <v>0</v>
      </c>
    </row>
    <row r="1363" spans="1:9" x14ac:dyDescent="0.2">
      <c r="A1363" s="2">
        <v>17</v>
      </c>
      <c r="B1363" s="1" t="s">
        <v>176</v>
      </c>
      <c r="C1363" s="4">
        <v>8</v>
      </c>
      <c r="D1363" s="8">
        <v>1.36</v>
      </c>
      <c r="E1363" s="4">
        <v>8</v>
      </c>
      <c r="F1363" s="8">
        <v>2.83</v>
      </c>
      <c r="G1363" s="4">
        <v>0</v>
      </c>
      <c r="H1363" s="8">
        <v>0</v>
      </c>
      <c r="I1363" s="4">
        <v>0</v>
      </c>
    </row>
    <row r="1364" spans="1:9" x14ac:dyDescent="0.2">
      <c r="A1364" s="1"/>
      <c r="C1364" s="4"/>
      <c r="D1364" s="8"/>
      <c r="E1364" s="4"/>
      <c r="F1364" s="8"/>
      <c r="G1364" s="4"/>
      <c r="H1364" s="8"/>
      <c r="I1364" s="4"/>
    </row>
    <row r="1365" spans="1:9" x14ac:dyDescent="0.2">
      <c r="A1365" s="1" t="s">
        <v>60</v>
      </c>
      <c r="C1365" s="4"/>
      <c r="D1365" s="8"/>
      <c r="E1365" s="4"/>
      <c r="F1365" s="8"/>
      <c r="G1365" s="4"/>
      <c r="H1365" s="8"/>
      <c r="I1365" s="4"/>
    </row>
    <row r="1366" spans="1:9" x14ac:dyDescent="0.2">
      <c r="A1366" s="2">
        <v>1</v>
      </c>
      <c r="B1366" s="1" t="s">
        <v>168</v>
      </c>
      <c r="C1366" s="4">
        <v>41</v>
      </c>
      <c r="D1366" s="8">
        <v>4.7699999999999996</v>
      </c>
      <c r="E1366" s="4">
        <v>32</v>
      </c>
      <c r="F1366" s="8">
        <v>7.71</v>
      </c>
      <c r="G1366" s="4">
        <v>9</v>
      </c>
      <c r="H1366" s="8">
        <v>2.09</v>
      </c>
      <c r="I1366" s="4">
        <v>0</v>
      </c>
    </row>
    <row r="1367" spans="1:9" x14ac:dyDescent="0.2">
      <c r="A1367" s="2">
        <v>2</v>
      </c>
      <c r="B1367" s="1" t="s">
        <v>161</v>
      </c>
      <c r="C1367" s="4">
        <v>40</v>
      </c>
      <c r="D1367" s="8">
        <v>4.6500000000000004</v>
      </c>
      <c r="E1367" s="4">
        <v>13</v>
      </c>
      <c r="F1367" s="8">
        <v>3.13</v>
      </c>
      <c r="G1367" s="4">
        <v>27</v>
      </c>
      <c r="H1367" s="8">
        <v>6.28</v>
      </c>
      <c r="I1367" s="4">
        <v>0</v>
      </c>
    </row>
    <row r="1368" spans="1:9" x14ac:dyDescent="0.2">
      <c r="A1368" s="2">
        <v>3</v>
      </c>
      <c r="B1368" s="1" t="s">
        <v>163</v>
      </c>
      <c r="C1368" s="4">
        <v>29</v>
      </c>
      <c r="D1368" s="8">
        <v>3.37</v>
      </c>
      <c r="E1368" s="4">
        <v>22</v>
      </c>
      <c r="F1368" s="8">
        <v>5.3</v>
      </c>
      <c r="G1368" s="4">
        <v>7</v>
      </c>
      <c r="H1368" s="8">
        <v>1.63</v>
      </c>
      <c r="I1368" s="4">
        <v>0</v>
      </c>
    </row>
    <row r="1369" spans="1:9" x14ac:dyDescent="0.2">
      <c r="A1369" s="2">
        <v>3</v>
      </c>
      <c r="B1369" s="1" t="s">
        <v>171</v>
      </c>
      <c r="C1369" s="4">
        <v>29</v>
      </c>
      <c r="D1369" s="8">
        <v>3.37</v>
      </c>
      <c r="E1369" s="4">
        <v>28</v>
      </c>
      <c r="F1369" s="8">
        <v>6.75</v>
      </c>
      <c r="G1369" s="4">
        <v>1</v>
      </c>
      <c r="H1369" s="8">
        <v>0.23</v>
      </c>
      <c r="I1369" s="4">
        <v>0</v>
      </c>
    </row>
    <row r="1370" spans="1:9" x14ac:dyDescent="0.2">
      <c r="A1370" s="2">
        <v>5</v>
      </c>
      <c r="B1370" s="1" t="s">
        <v>165</v>
      </c>
      <c r="C1370" s="4">
        <v>28</v>
      </c>
      <c r="D1370" s="8">
        <v>3.26</v>
      </c>
      <c r="E1370" s="4">
        <v>27</v>
      </c>
      <c r="F1370" s="8">
        <v>6.51</v>
      </c>
      <c r="G1370" s="4">
        <v>1</v>
      </c>
      <c r="H1370" s="8">
        <v>0.23</v>
      </c>
      <c r="I1370" s="4">
        <v>0</v>
      </c>
    </row>
    <row r="1371" spans="1:9" x14ac:dyDescent="0.2">
      <c r="A1371" s="2">
        <v>6</v>
      </c>
      <c r="B1371" s="1" t="s">
        <v>170</v>
      </c>
      <c r="C1371" s="4">
        <v>26</v>
      </c>
      <c r="D1371" s="8">
        <v>3.02</v>
      </c>
      <c r="E1371" s="4">
        <v>20</v>
      </c>
      <c r="F1371" s="8">
        <v>4.82</v>
      </c>
      <c r="G1371" s="4">
        <v>6</v>
      </c>
      <c r="H1371" s="8">
        <v>1.4</v>
      </c>
      <c r="I1371" s="4">
        <v>0</v>
      </c>
    </row>
    <row r="1372" spans="1:9" x14ac:dyDescent="0.2">
      <c r="A1372" s="2">
        <v>7</v>
      </c>
      <c r="B1372" s="1" t="s">
        <v>164</v>
      </c>
      <c r="C1372" s="4">
        <v>25</v>
      </c>
      <c r="D1372" s="8">
        <v>2.91</v>
      </c>
      <c r="E1372" s="4">
        <v>25</v>
      </c>
      <c r="F1372" s="8">
        <v>6.02</v>
      </c>
      <c r="G1372" s="4">
        <v>0</v>
      </c>
      <c r="H1372" s="8">
        <v>0</v>
      </c>
      <c r="I1372" s="4">
        <v>0</v>
      </c>
    </row>
    <row r="1373" spans="1:9" x14ac:dyDescent="0.2">
      <c r="A1373" s="2">
        <v>8</v>
      </c>
      <c r="B1373" s="1" t="s">
        <v>153</v>
      </c>
      <c r="C1373" s="4">
        <v>19</v>
      </c>
      <c r="D1373" s="8">
        <v>2.21</v>
      </c>
      <c r="E1373" s="4">
        <v>2</v>
      </c>
      <c r="F1373" s="8">
        <v>0.48</v>
      </c>
      <c r="G1373" s="4">
        <v>17</v>
      </c>
      <c r="H1373" s="8">
        <v>3.95</v>
      </c>
      <c r="I1373" s="4">
        <v>0</v>
      </c>
    </row>
    <row r="1374" spans="1:9" x14ac:dyDescent="0.2">
      <c r="A1374" s="2">
        <v>8</v>
      </c>
      <c r="B1374" s="1" t="s">
        <v>167</v>
      </c>
      <c r="C1374" s="4">
        <v>19</v>
      </c>
      <c r="D1374" s="8">
        <v>2.21</v>
      </c>
      <c r="E1374" s="4">
        <v>16</v>
      </c>
      <c r="F1374" s="8">
        <v>3.86</v>
      </c>
      <c r="G1374" s="4">
        <v>3</v>
      </c>
      <c r="H1374" s="8">
        <v>0.7</v>
      </c>
      <c r="I1374" s="4">
        <v>0</v>
      </c>
    </row>
    <row r="1375" spans="1:9" x14ac:dyDescent="0.2">
      <c r="A1375" s="2">
        <v>10</v>
      </c>
      <c r="B1375" s="1" t="s">
        <v>205</v>
      </c>
      <c r="C1375" s="4">
        <v>18</v>
      </c>
      <c r="D1375" s="8">
        <v>2.09</v>
      </c>
      <c r="E1375" s="4">
        <v>3</v>
      </c>
      <c r="F1375" s="8">
        <v>0.72</v>
      </c>
      <c r="G1375" s="4">
        <v>15</v>
      </c>
      <c r="H1375" s="8">
        <v>3.49</v>
      </c>
      <c r="I1375" s="4">
        <v>0</v>
      </c>
    </row>
    <row r="1376" spans="1:9" x14ac:dyDescent="0.2">
      <c r="A1376" s="2">
        <v>11</v>
      </c>
      <c r="B1376" s="1" t="s">
        <v>152</v>
      </c>
      <c r="C1376" s="4">
        <v>16</v>
      </c>
      <c r="D1376" s="8">
        <v>1.86</v>
      </c>
      <c r="E1376" s="4">
        <v>1</v>
      </c>
      <c r="F1376" s="8">
        <v>0.24</v>
      </c>
      <c r="G1376" s="4">
        <v>15</v>
      </c>
      <c r="H1376" s="8">
        <v>3.49</v>
      </c>
      <c r="I1376" s="4">
        <v>0</v>
      </c>
    </row>
    <row r="1377" spans="1:9" x14ac:dyDescent="0.2">
      <c r="A1377" s="2">
        <v>11</v>
      </c>
      <c r="B1377" s="1" t="s">
        <v>154</v>
      </c>
      <c r="C1377" s="4">
        <v>16</v>
      </c>
      <c r="D1377" s="8">
        <v>1.86</v>
      </c>
      <c r="E1377" s="4">
        <v>4</v>
      </c>
      <c r="F1377" s="8">
        <v>0.96</v>
      </c>
      <c r="G1377" s="4">
        <v>12</v>
      </c>
      <c r="H1377" s="8">
        <v>2.79</v>
      </c>
      <c r="I1377" s="4">
        <v>0</v>
      </c>
    </row>
    <row r="1378" spans="1:9" x14ac:dyDescent="0.2">
      <c r="A1378" s="2">
        <v>13</v>
      </c>
      <c r="B1378" s="1" t="s">
        <v>169</v>
      </c>
      <c r="C1378" s="4">
        <v>15</v>
      </c>
      <c r="D1378" s="8">
        <v>1.74</v>
      </c>
      <c r="E1378" s="4">
        <v>9</v>
      </c>
      <c r="F1378" s="8">
        <v>2.17</v>
      </c>
      <c r="G1378" s="4">
        <v>6</v>
      </c>
      <c r="H1378" s="8">
        <v>1.4</v>
      </c>
      <c r="I1378" s="4">
        <v>0</v>
      </c>
    </row>
    <row r="1379" spans="1:9" x14ac:dyDescent="0.2">
      <c r="A1379" s="2">
        <v>14</v>
      </c>
      <c r="B1379" s="1" t="s">
        <v>186</v>
      </c>
      <c r="C1379" s="4">
        <v>11</v>
      </c>
      <c r="D1379" s="8">
        <v>1.28</v>
      </c>
      <c r="E1379" s="4">
        <v>9</v>
      </c>
      <c r="F1379" s="8">
        <v>2.17</v>
      </c>
      <c r="G1379" s="4">
        <v>2</v>
      </c>
      <c r="H1379" s="8">
        <v>0.47</v>
      </c>
      <c r="I1379" s="4">
        <v>0</v>
      </c>
    </row>
    <row r="1380" spans="1:9" x14ac:dyDescent="0.2">
      <c r="A1380" s="2">
        <v>14</v>
      </c>
      <c r="B1380" s="1" t="s">
        <v>158</v>
      </c>
      <c r="C1380" s="4">
        <v>11</v>
      </c>
      <c r="D1380" s="8">
        <v>1.28</v>
      </c>
      <c r="E1380" s="4">
        <v>7</v>
      </c>
      <c r="F1380" s="8">
        <v>1.69</v>
      </c>
      <c r="G1380" s="4">
        <v>4</v>
      </c>
      <c r="H1380" s="8">
        <v>0.93</v>
      </c>
      <c r="I1380" s="4">
        <v>0</v>
      </c>
    </row>
    <row r="1381" spans="1:9" x14ac:dyDescent="0.2">
      <c r="A1381" s="2">
        <v>14</v>
      </c>
      <c r="B1381" s="1" t="s">
        <v>179</v>
      </c>
      <c r="C1381" s="4">
        <v>11</v>
      </c>
      <c r="D1381" s="8">
        <v>1.28</v>
      </c>
      <c r="E1381" s="4">
        <v>8</v>
      </c>
      <c r="F1381" s="8">
        <v>1.93</v>
      </c>
      <c r="G1381" s="4">
        <v>3</v>
      </c>
      <c r="H1381" s="8">
        <v>0.7</v>
      </c>
      <c r="I1381" s="4">
        <v>0</v>
      </c>
    </row>
    <row r="1382" spans="1:9" x14ac:dyDescent="0.2">
      <c r="A1382" s="2">
        <v>17</v>
      </c>
      <c r="B1382" s="1" t="s">
        <v>156</v>
      </c>
      <c r="C1382" s="4">
        <v>10</v>
      </c>
      <c r="D1382" s="8">
        <v>1.1599999999999999</v>
      </c>
      <c r="E1382" s="4">
        <v>3</v>
      </c>
      <c r="F1382" s="8">
        <v>0.72</v>
      </c>
      <c r="G1382" s="4">
        <v>7</v>
      </c>
      <c r="H1382" s="8">
        <v>1.63</v>
      </c>
      <c r="I1382" s="4">
        <v>0</v>
      </c>
    </row>
    <row r="1383" spans="1:9" x14ac:dyDescent="0.2">
      <c r="A1383" s="2">
        <v>17</v>
      </c>
      <c r="B1383" s="1" t="s">
        <v>166</v>
      </c>
      <c r="C1383" s="4">
        <v>10</v>
      </c>
      <c r="D1383" s="8">
        <v>1.1599999999999999</v>
      </c>
      <c r="E1383" s="4">
        <v>7</v>
      </c>
      <c r="F1383" s="8">
        <v>1.69</v>
      </c>
      <c r="G1383" s="4">
        <v>3</v>
      </c>
      <c r="H1383" s="8">
        <v>0.7</v>
      </c>
      <c r="I1383" s="4">
        <v>0</v>
      </c>
    </row>
    <row r="1384" spans="1:9" x14ac:dyDescent="0.2">
      <c r="A1384" s="2">
        <v>19</v>
      </c>
      <c r="B1384" s="1" t="s">
        <v>200</v>
      </c>
      <c r="C1384" s="4">
        <v>9</v>
      </c>
      <c r="D1384" s="8">
        <v>1.05</v>
      </c>
      <c r="E1384" s="4">
        <v>3</v>
      </c>
      <c r="F1384" s="8">
        <v>0.72</v>
      </c>
      <c r="G1384" s="4">
        <v>6</v>
      </c>
      <c r="H1384" s="8">
        <v>1.4</v>
      </c>
      <c r="I1384" s="4">
        <v>0</v>
      </c>
    </row>
    <row r="1385" spans="1:9" x14ac:dyDescent="0.2">
      <c r="A1385" s="2">
        <v>19</v>
      </c>
      <c r="B1385" s="1" t="s">
        <v>198</v>
      </c>
      <c r="C1385" s="4">
        <v>9</v>
      </c>
      <c r="D1385" s="8">
        <v>1.05</v>
      </c>
      <c r="E1385" s="4">
        <v>6</v>
      </c>
      <c r="F1385" s="8">
        <v>1.45</v>
      </c>
      <c r="G1385" s="4">
        <v>3</v>
      </c>
      <c r="H1385" s="8">
        <v>0.7</v>
      </c>
      <c r="I1385" s="4">
        <v>0</v>
      </c>
    </row>
    <row r="1386" spans="1:9" x14ac:dyDescent="0.2">
      <c r="A1386" s="1"/>
      <c r="C1386" s="4"/>
      <c r="D1386" s="8"/>
      <c r="E1386" s="4"/>
      <c r="F1386" s="8"/>
      <c r="G1386" s="4"/>
      <c r="H1386" s="8"/>
      <c r="I1386" s="4"/>
    </row>
    <row r="1387" spans="1:9" x14ac:dyDescent="0.2">
      <c r="A1387" s="1" t="s">
        <v>61</v>
      </c>
      <c r="C1387" s="4"/>
      <c r="D1387" s="8"/>
      <c r="E1387" s="4"/>
      <c r="F1387" s="8"/>
      <c r="G1387" s="4"/>
      <c r="H1387" s="8"/>
      <c r="I1387" s="4"/>
    </row>
    <row r="1388" spans="1:9" x14ac:dyDescent="0.2">
      <c r="A1388" s="2">
        <v>1</v>
      </c>
      <c r="B1388" s="1" t="s">
        <v>235</v>
      </c>
      <c r="C1388" s="4">
        <v>16</v>
      </c>
      <c r="D1388" s="8">
        <v>5.69</v>
      </c>
      <c r="E1388" s="4">
        <v>0</v>
      </c>
      <c r="F1388" s="8">
        <v>0</v>
      </c>
      <c r="G1388" s="4">
        <v>16</v>
      </c>
      <c r="H1388" s="8">
        <v>7.88</v>
      </c>
      <c r="I1388" s="4">
        <v>0</v>
      </c>
    </row>
    <row r="1389" spans="1:9" x14ac:dyDescent="0.2">
      <c r="A1389" s="2">
        <v>2</v>
      </c>
      <c r="B1389" s="1" t="s">
        <v>196</v>
      </c>
      <c r="C1389" s="4">
        <v>14</v>
      </c>
      <c r="D1389" s="8">
        <v>4.9800000000000004</v>
      </c>
      <c r="E1389" s="4">
        <v>5</v>
      </c>
      <c r="F1389" s="8">
        <v>6.76</v>
      </c>
      <c r="G1389" s="4">
        <v>9</v>
      </c>
      <c r="H1389" s="8">
        <v>4.43</v>
      </c>
      <c r="I1389" s="4">
        <v>0</v>
      </c>
    </row>
    <row r="1390" spans="1:9" x14ac:dyDescent="0.2">
      <c r="A1390" s="2">
        <v>3</v>
      </c>
      <c r="B1390" s="1" t="s">
        <v>236</v>
      </c>
      <c r="C1390" s="4">
        <v>13</v>
      </c>
      <c r="D1390" s="8">
        <v>4.63</v>
      </c>
      <c r="E1390" s="4">
        <v>0</v>
      </c>
      <c r="F1390" s="8">
        <v>0</v>
      </c>
      <c r="G1390" s="4">
        <v>13</v>
      </c>
      <c r="H1390" s="8">
        <v>6.4</v>
      </c>
      <c r="I1390" s="4">
        <v>0</v>
      </c>
    </row>
    <row r="1391" spans="1:9" x14ac:dyDescent="0.2">
      <c r="A1391" s="2">
        <v>4</v>
      </c>
      <c r="B1391" s="1" t="s">
        <v>242</v>
      </c>
      <c r="C1391" s="4">
        <v>11</v>
      </c>
      <c r="D1391" s="8">
        <v>3.91</v>
      </c>
      <c r="E1391" s="4">
        <v>0</v>
      </c>
      <c r="F1391" s="8">
        <v>0</v>
      </c>
      <c r="G1391" s="4">
        <v>11</v>
      </c>
      <c r="H1391" s="8">
        <v>5.42</v>
      </c>
      <c r="I1391" s="4">
        <v>0</v>
      </c>
    </row>
    <row r="1392" spans="1:9" x14ac:dyDescent="0.2">
      <c r="A1392" s="2">
        <v>5</v>
      </c>
      <c r="B1392" s="1" t="s">
        <v>224</v>
      </c>
      <c r="C1392" s="4">
        <v>9</v>
      </c>
      <c r="D1392" s="8">
        <v>3.2</v>
      </c>
      <c r="E1392" s="4">
        <v>0</v>
      </c>
      <c r="F1392" s="8">
        <v>0</v>
      </c>
      <c r="G1392" s="4">
        <v>9</v>
      </c>
      <c r="H1392" s="8">
        <v>4.43</v>
      </c>
      <c r="I1392" s="4">
        <v>0</v>
      </c>
    </row>
    <row r="1393" spans="1:9" x14ac:dyDescent="0.2">
      <c r="A1393" s="2">
        <v>5</v>
      </c>
      <c r="B1393" s="1" t="s">
        <v>239</v>
      </c>
      <c r="C1393" s="4">
        <v>9</v>
      </c>
      <c r="D1393" s="8">
        <v>3.2</v>
      </c>
      <c r="E1393" s="4">
        <v>0</v>
      </c>
      <c r="F1393" s="8">
        <v>0</v>
      </c>
      <c r="G1393" s="4">
        <v>9</v>
      </c>
      <c r="H1393" s="8">
        <v>4.43</v>
      </c>
      <c r="I1393" s="4">
        <v>0</v>
      </c>
    </row>
    <row r="1394" spans="1:9" x14ac:dyDescent="0.2">
      <c r="A1394" s="2">
        <v>5</v>
      </c>
      <c r="B1394" s="1" t="s">
        <v>188</v>
      </c>
      <c r="C1394" s="4">
        <v>9</v>
      </c>
      <c r="D1394" s="8">
        <v>3.2</v>
      </c>
      <c r="E1394" s="4">
        <v>5</v>
      </c>
      <c r="F1394" s="8">
        <v>6.76</v>
      </c>
      <c r="G1394" s="4">
        <v>4</v>
      </c>
      <c r="H1394" s="8">
        <v>1.97</v>
      </c>
      <c r="I1394" s="4">
        <v>0</v>
      </c>
    </row>
    <row r="1395" spans="1:9" x14ac:dyDescent="0.2">
      <c r="A1395" s="2">
        <v>8</v>
      </c>
      <c r="B1395" s="1" t="s">
        <v>216</v>
      </c>
      <c r="C1395" s="4">
        <v>7</v>
      </c>
      <c r="D1395" s="8">
        <v>2.4900000000000002</v>
      </c>
      <c r="E1395" s="4">
        <v>1</v>
      </c>
      <c r="F1395" s="8">
        <v>1.35</v>
      </c>
      <c r="G1395" s="4">
        <v>6</v>
      </c>
      <c r="H1395" s="8">
        <v>2.96</v>
      </c>
      <c r="I1395" s="4">
        <v>0</v>
      </c>
    </row>
    <row r="1396" spans="1:9" x14ac:dyDescent="0.2">
      <c r="A1396" s="2">
        <v>8</v>
      </c>
      <c r="B1396" s="1" t="s">
        <v>158</v>
      </c>
      <c r="C1396" s="4">
        <v>7</v>
      </c>
      <c r="D1396" s="8">
        <v>2.4900000000000002</v>
      </c>
      <c r="E1396" s="4">
        <v>6</v>
      </c>
      <c r="F1396" s="8">
        <v>8.11</v>
      </c>
      <c r="G1396" s="4">
        <v>1</v>
      </c>
      <c r="H1396" s="8">
        <v>0.49</v>
      </c>
      <c r="I1396" s="4">
        <v>0</v>
      </c>
    </row>
    <row r="1397" spans="1:9" x14ac:dyDescent="0.2">
      <c r="A1397" s="2">
        <v>8</v>
      </c>
      <c r="B1397" s="1" t="s">
        <v>165</v>
      </c>
      <c r="C1397" s="4">
        <v>7</v>
      </c>
      <c r="D1397" s="8">
        <v>2.4900000000000002</v>
      </c>
      <c r="E1397" s="4">
        <v>7</v>
      </c>
      <c r="F1397" s="8">
        <v>9.4600000000000009</v>
      </c>
      <c r="G1397" s="4">
        <v>0</v>
      </c>
      <c r="H1397" s="8">
        <v>0</v>
      </c>
      <c r="I1397" s="4">
        <v>0</v>
      </c>
    </row>
    <row r="1398" spans="1:9" x14ac:dyDescent="0.2">
      <c r="A1398" s="2">
        <v>8</v>
      </c>
      <c r="B1398" s="1" t="s">
        <v>180</v>
      </c>
      <c r="C1398" s="4">
        <v>7</v>
      </c>
      <c r="D1398" s="8">
        <v>2.4900000000000002</v>
      </c>
      <c r="E1398" s="4">
        <v>0</v>
      </c>
      <c r="F1398" s="8">
        <v>0</v>
      </c>
      <c r="G1398" s="4">
        <v>7</v>
      </c>
      <c r="H1398" s="8">
        <v>3.45</v>
      </c>
      <c r="I1398" s="4">
        <v>0</v>
      </c>
    </row>
    <row r="1399" spans="1:9" x14ac:dyDescent="0.2">
      <c r="A1399" s="2">
        <v>12</v>
      </c>
      <c r="B1399" s="1" t="s">
        <v>234</v>
      </c>
      <c r="C1399" s="4">
        <v>6</v>
      </c>
      <c r="D1399" s="8">
        <v>2.14</v>
      </c>
      <c r="E1399" s="4">
        <v>2</v>
      </c>
      <c r="F1399" s="8">
        <v>2.7</v>
      </c>
      <c r="G1399" s="4">
        <v>4</v>
      </c>
      <c r="H1399" s="8">
        <v>1.97</v>
      </c>
      <c r="I1399" s="4">
        <v>0</v>
      </c>
    </row>
    <row r="1400" spans="1:9" x14ac:dyDescent="0.2">
      <c r="A1400" s="2">
        <v>12</v>
      </c>
      <c r="B1400" s="1" t="s">
        <v>156</v>
      </c>
      <c r="C1400" s="4">
        <v>6</v>
      </c>
      <c r="D1400" s="8">
        <v>2.14</v>
      </c>
      <c r="E1400" s="4">
        <v>2</v>
      </c>
      <c r="F1400" s="8">
        <v>2.7</v>
      </c>
      <c r="G1400" s="4">
        <v>4</v>
      </c>
      <c r="H1400" s="8">
        <v>1.97</v>
      </c>
      <c r="I1400" s="4">
        <v>0</v>
      </c>
    </row>
    <row r="1401" spans="1:9" x14ac:dyDescent="0.2">
      <c r="A1401" s="2">
        <v>14</v>
      </c>
      <c r="B1401" s="1" t="s">
        <v>152</v>
      </c>
      <c r="C1401" s="4">
        <v>5</v>
      </c>
      <c r="D1401" s="8">
        <v>1.78</v>
      </c>
      <c r="E1401" s="4">
        <v>2</v>
      </c>
      <c r="F1401" s="8">
        <v>2.7</v>
      </c>
      <c r="G1401" s="4">
        <v>3</v>
      </c>
      <c r="H1401" s="8">
        <v>1.48</v>
      </c>
      <c r="I1401" s="4">
        <v>0</v>
      </c>
    </row>
    <row r="1402" spans="1:9" x14ac:dyDescent="0.2">
      <c r="A1402" s="2">
        <v>14</v>
      </c>
      <c r="B1402" s="1" t="s">
        <v>238</v>
      </c>
      <c r="C1402" s="4">
        <v>5</v>
      </c>
      <c r="D1402" s="8">
        <v>1.78</v>
      </c>
      <c r="E1402" s="4">
        <v>1</v>
      </c>
      <c r="F1402" s="8">
        <v>1.35</v>
      </c>
      <c r="G1402" s="4">
        <v>4</v>
      </c>
      <c r="H1402" s="8">
        <v>1.97</v>
      </c>
      <c r="I1402" s="4">
        <v>0</v>
      </c>
    </row>
    <row r="1403" spans="1:9" x14ac:dyDescent="0.2">
      <c r="A1403" s="2">
        <v>16</v>
      </c>
      <c r="B1403" s="1" t="s">
        <v>153</v>
      </c>
      <c r="C1403" s="4">
        <v>4</v>
      </c>
      <c r="D1403" s="8">
        <v>1.42</v>
      </c>
      <c r="E1403" s="4">
        <v>0</v>
      </c>
      <c r="F1403" s="8">
        <v>0</v>
      </c>
      <c r="G1403" s="4">
        <v>4</v>
      </c>
      <c r="H1403" s="8">
        <v>1.97</v>
      </c>
      <c r="I1403" s="4">
        <v>0</v>
      </c>
    </row>
    <row r="1404" spans="1:9" x14ac:dyDescent="0.2">
      <c r="A1404" s="2">
        <v>16</v>
      </c>
      <c r="B1404" s="1" t="s">
        <v>232</v>
      </c>
      <c r="C1404" s="4">
        <v>4</v>
      </c>
      <c r="D1404" s="8">
        <v>1.42</v>
      </c>
      <c r="E1404" s="4">
        <v>1</v>
      </c>
      <c r="F1404" s="8">
        <v>1.35</v>
      </c>
      <c r="G1404" s="4">
        <v>3</v>
      </c>
      <c r="H1404" s="8">
        <v>1.48</v>
      </c>
      <c r="I1404" s="4">
        <v>0</v>
      </c>
    </row>
    <row r="1405" spans="1:9" x14ac:dyDescent="0.2">
      <c r="A1405" s="2">
        <v>16</v>
      </c>
      <c r="B1405" s="1" t="s">
        <v>233</v>
      </c>
      <c r="C1405" s="4">
        <v>4</v>
      </c>
      <c r="D1405" s="8">
        <v>1.42</v>
      </c>
      <c r="E1405" s="4">
        <v>0</v>
      </c>
      <c r="F1405" s="8">
        <v>0</v>
      </c>
      <c r="G1405" s="4">
        <v>4</v>
      </c>
      <c r="H1405" s="8">
        <v>1.97</v>
      </c>
      <c r="I1405" s="4">
        <v>0</v>
      </c>
    </row>
    <row r="1406" spans="1:9" x14ac:dyDescent="0.2">
      <c r="A1406" s="2">
        <v>16</v>
      </c>
      <c r="B1406" s="1" t="s">
        <v>237</v>
      </c>
      <c r="C1406" s="4">
        <v>4</v>
      </c>
      <c r="D1406" s="8">
        <v>1.42</v>
      </c>
      <c r="E1406" s="4">
        <v>0</v>
      </c>
      <c r="F1406" s="8">
        <v>0</v>
      </c>
      <c r="G1406" s="4">
        <v>4</v>
      </c>
      <c r="H1406" s="8">
        <v>1.97</v>
      </c>
      <c r="I1406" s="4">
        <v>0</v>
      </c>
    </row>
    <row r="1407" spans="1:9" x14ac:dyDescent="0.2">
      <c r="A1407" s="2">
        <v>16</v>
      </c>
      <c r="B1407" s="1" t="s">
        <v>240</v>
      </c>
      <c r="C1407" s="4">
        <v>4</v>
      </c>
      <c r="D1407" s="8">
        <v>1.42</v>
      </c>
      <c r="E1407" s="4">
        <v>2</v>
      </c>
      <c r="F1407" s="8">
        <v>2.7</v>
      </c>
      <c r="G1407" s="4">
        <v>2</v>
      </c>
      <c r="H1407" s="8">
        <v>0.99</v>
      </c>
      <c r="I1407" s="4">
        <v>0</v>
      </c>
    </row>
    <row r="1408" spans="1:9" x14ac:dyDescent="0.2">
      <c r="A1408" s="2">
        <v>16</v>
      </c>
      <c r="B1408" s="1" t="s">
        <v>160</v>
      </c>
      <c r="C1408" s="4">
        <v>4</v>
      </c>
      <c r="D1408" s="8">
        <v>1.42</v>
      </c>
      <c r="E1408" s="4">
        <v>0</v>
      </c>
      <c r="F1408" s="8">
        <v>0</v>
      </c>
      <c r="G1408" s="4">
        <v>4</v>
      </c>
      <c r="H1408" s="8">
        <v>1.97</v>
      </c>
      <c r="I1408" s="4">
        <v>0</v>
      </c>
    </row>
    <row r="1409" spans="1:9" x14ac:dyDescent="0.2">
      <c r="A1409" s="2">
        <v>16</v>
      </c>
      <c r="B1409" s="1" t="s">
        <v>241</v>
      </c>
      <c r="C1409" s="4">
        <v>4</v>
      </c>
      <c r="D1409" s="8">
        <v>1.42</v>
      </c>
      <c r="E1409" s="4">
        <v>0</v>
      </c>
      <c r="F1409" s="8">
        <v>0</v>
      </c>
      <c r="G1409" s="4">
        <v>4</v>
      </c>
      <c r="H1409" s="8">
        <v>1.97</v>
      </c>
      <c r="I1409" s="4">
        <v>0</v>
      </c>
    </row>
    <row r="1410" spans="1:9" x14ac:dyDescent="0.2">
      <c r="A1410" s="2">
        <v>16</v>
      </c>
      <c r="B1410" s="1" t="s">
        <v>163</v>
      </c>
      <c r="C1410" s="4">
        <v>4</v>
      </c>
      <c r="D1410" s="8">
        <v>1.42</v>
      </c>
      <c r="E1410" s="4">
        <v>3</v>
      </c>
      <c r="F1410" s="8">
        <v>4.05</v>
      </c>
      <c r="G1410" s="4">
        <v>1</v>
      </c>
      <c r="H1410" s="8">
        <v>0.49</v>
      </c>
      <c r="I1410" s="4">
        <v>0</v>
      </c>
    </row>
    <row r="1411" spans="1:9" x14ac:dyDescent="0.2">
      <c r="A1411" s="2">
        <v>16</v>
      </c>
      <c r="B1411" s="1" t="s">
        <v>170</v>
      </c>
      <c r="C1411" s="4">
        <v>4</v>
      </c>
      <c r="D1411" s="8">
        <v>1.42</v>
      </c>
      <c r="E1411" s="4">
        <v>4</v>
      </c>
      <c r="F1411" s="8">
        <v>5.41</v>
      </c>
      <c r="G1411" s="4">
        <v>0</v>
      </c>
      <c r="H1411" s="8">
        <v>0</v>
      </c>
      <c r="I1411" s="4">
        <v>0</v>
      </c>
    </row>
    <row r="1412" spans="1:9" x14ac:dyDescent="0.2">
      <c r="A1412" s="1"/>
      <c r="C1412" s="4"/>
      <c r="D1412" s="8"/>
      <c r="E1412" s="4"/>
      <c r="F1412" s="8"/>
      <c r="G1412" s="4"/>
      <c r="H1412" s="8"/>
      <c r="I1412" s="4"/>
    </row>
    <row r="1413" spans="1:9" x14ac:dyDescent="0.2">
      <c r="A1413" s="1" t="s">
        <v>62</v>
      </c>
      <c r="C1413" s="4"/>
      <c r="D1413" s="8"/>
      <c r="E1413" s="4"/>
      <c r="F1413" s="8"/>
      <c r="G1413" s="4"/>
      <c r="H1413" s="8"/>
      <c r="I1413" s="4"/>
    </row>
    <row r="1414" spans="1:9" x14ac:dyDescent="0.2">
      <c r="A1414" s="2">
        <v>1</v>
      </c>
      <c r="B1414" s="1" t="s">
        <v>168</v>
      </c>
      <c r="C1414" s="4">
        <v>24</v>
      </c>
      <c r="D1414" s="8">
        <v>5.21</v>
      </c>
      <c r="E1414" s="4">
        <v>21</v>
      </c>
      <c r="F1414" s="8">
        <v>8.5399999999999991</v>
      </c>
      <c r="G1414" s="4">
        <v>3</v>
      </c>
      <c r="H1414" s="8">
        <v>1.42</v>
      </c>
      <c r="I1414" s="4">
        <v>0</v>
      </c>
    </row>
    <row r="1415" spans="1:9" x14ac:dyDescent="0.2">
      <c r="A1415" s="2">
        <v>2</v>
      </c>
      <c r="B1415" s="1" t="s">
        <v>156</v>
      </c>
      <c r="C1415" s="4">
        <v>18</v>
      </c>
      <c r="D1415" s="8">
        <v>3.9</v>
      </c>
      <c r="E1415" s="4">
        <v>10</v>
      </c>
      <c r="F1415" s="8">
        <v>4.07</v>
      </c>
      <c r="G1415" s="4">
        <v>8</v>
      </c>
      <c r="H1415" s="8">
        <v>3.79</v>
      </c>
      <c r="I1415" s="4">
        <v>0</v>
      </c>
    </row>
    <row r="1416" spans="1:9" x14ac:dyDescent="0.2">
      <c r="A1416" s="2">
        <v>2</v>
      </c>
      <c r="B1416" s="1" t="s">
        <v>163</v>
      </c>
      <c r="C1416" s="4">
        <v>18</v>
      </c>
      <c r="D1416" s="8">
        <v>3.9</v>
      </c>
      <c r="E1416" s="4">
        <v>14</v>
      </c>
      <c r="F1416" s="8">
        <v>5.69</v>
      </c>
      <c r="G1416" s="4">
        <v>4</v>
      </c>
      <c r="H1416" s="8">
        <v>1.9</v>
      </c>
      <c r="I1416" s="4">
        <v>0</v>
      </c>
    </row>
    <row r="1417" spans="1:9" x14ac:dyDescent="0.2">
      <c r="A1417" s="2">
        <v>4</v>
      </c>
      <c r="B1417" s="1" t="s">
        <v>167</v>
      </c>
      <c r="C1417" s="4">
        <v>15</v>
      </c>
      <c r="D1417" s="8">
        <v>3.25</v>
      </c>
      <c r="E1417" s="4">
        <v>14</v>
      </c>
      <c r="F1417" s="8">
        <v>5.69</v>
      </c>
      <c r="G1417" s="4">
        <v>1</v>
      </c>
      <c r="H1417" s="8">
        <v>0.47</v>
      </c>
      <c r="I1417" s="4">
        <v>0</v>
      </c>
    </row>
    <row r="1418" spans="1:9" x14ac:dyDescent="0.2">
      <c r="A1418" s="2">
        <v>5</v>
      </c>
      <c r="B1418" s="1" t="s">
        <v>171</v>
      </c>
      <c r="C1418" s="4">
        <v>14</v>
      </c>
      <c r="D1418" s="8">
        <v>3.04</v>
      </c>
      <c r="E1418" s="4">
        <v>14</v>
      </c>
      <c r="F1418" s="8">
        <v>5.69</v>
      </c>
      <c r="G1418" s="4">
        <v>0</v>
      </c>
      <c r="H1418" s="8">
        <v>0</v>
      </c>
      <c r="I1418" s="4">
        <v>0</v>
      </c>
    </row>
    <row r="1419" spans="1:9" x14ac:dyDescent="0.2">
      <c r="A1419" s="2">
        <v>6</v>
      </c>
      <c r="B1419" s="1" t="s">
        <v>243</v>
      </c>
      <c r="C1419" s="4">
        <v>12</v>
      </c>
      <c r="D1419" s="8">
        <v>2.6</v>
      </c>
      <c r="E1419" s="4">
        <v>7</v>
      </c>
      <c r="F1419" s="8">
        <v>2.85</v>
      </c>
      <c r="G1419" s="4">
        <v>5</v>
      </c>
      <c r="H1419" s="8">
        <v>2.37</v>
      </c>
      <c r="I1419" s="4">
        <v>0</v>
      </c>
    </row>
    <row r="1420" spans="1:9" x14ac:dyDescent="0.2">
      <c r="A1420" s="2">
        <v>6</v>
      </c>
      <c r="B1420" s="1" t="s">
        <v>170</v>
      </c>
      <c r="C1420" s="4">
        <v>12</v>
      </c>
      <c r="D1420" s="8">
        <v>2.6</v>
      </c>
      <c r="E1420" s="4">
        <v>10</v>
      </c>
      <c r="F1420" s="8">
        <v>4.07</v>
      </c>
      <c r="G1420" s="4">
        <v>2</v>
      </c>
      <c r="H1420" s="8">
        <v>0.95</v>
      </c>
      <c r="I1420" s="4">
        <v>0</v>
      </c>
    </row>
    <row r="1421" spans="1:9" x14ac:dyDescent="0.2">
      <c r="A1421" s="2">
        <v>8</v>
      </c>
      <c r="B1421" s="1" t="s">
        <v>153</v>
      </c>
      <c r="C1421" s="4">
        <v>11</v>
      </c>
      <c r="D1421" s="8">
        <v>2.39</v>
      </c>
      <c r="E1421" s="4">
        <v>1</v>
      </c>
      <c r="F1421" s="8">
        <v>0.41</v>
      </c>
      <c r="G1421" s="4">
        <v>10</v>
      </c>
      <c r="H1421" s="8">
        <v>4.74</v>
      </c>
      <c r="I1421" s="4">
        <v>0</v>
      </c>
    </row>
    <row r="1422" spans="1:9" x14ac:dyDescent="0.2">
      <c r="A1422" s="2">
        <v>8</v>
      </c>
      <c r="B1422" s="1" t="s">
        <v>154</v>
      </c>
      <c r="C1422" s="4">
        <v>11</v>
      </c>
      <c r="D1422" s="8">
        <v>2.39</v>
      </c>
      <c r="E1422" s="4">
        <v>3</v>
      </c>
      <c r="F1422" s="8">
        <v>1.22</v>
      </c>
      <c r="G1422" s="4">
        <v>8</v>
      </c>
      <c r="H1422" s="8">
        <v>3.79</v>
      </c>
      <c r="I1422" s="4">
        <v>0</v>
      </c>
    </row>
    <row r="1423" spans="1:9" x14ac:dyDescent="0.2">
      <c r="A1423" s="2">
        <v>10</v>
      </c>
      <c r="B1423" s="1" t="s">
        <v>158</v>
      </c>
      <c r="C1423" s="4">
        <v>10</v>
      </c>
      <c r="D1423" s="8">
        <v>2.17</v>
      </c>
      <c r="E1423" s="4">
        <v>5</v>
      </c>
      <c r="F1423" s="8">
        <v>2.0299999999999998</v>
      </c>
      <c r="G1423" s="4">
        <v>5</v>
      </c>
      <c r="H1423" s="8">
        <v>2.37</v>
      </c>
      <c r="I1423" s="4">
        <v>0</v>
      </c>
    </row>
    <row r="1424" spans="1:9" x14ac:dyDescent="0.2">
      <c r="A1424" s="2">
        <v>10</v>
      </c>
      <c r="B1424" s="1" t="s">
        <v>165</v>
      </c>
      <c r="C1424" s="4">
        <v>10</v>
      </c>
      <c r="D1424" s="8">
        <v>2.17</v>
      </c>
      <c r="E1424" s="4">
        <v>10</v>
      </c>
      <c r="F1424" s="8">
        <v>4.07</v>
      </c>
      <c r="G1424" s="4">
        <v>0</v>
      </c>
      <c r="H1424" s="8">
        <v>0</v>
      </c>
      <c r="I1424" s="4">
        <v>0</v>
      </c>
    </row>
    <row r="1425" spans="1:9" x14ac:dyDescent="0.2">
      <c r="A1425" s="2">
        <v>12</v>
      </c>
      <c r="B1425" s="1" t="s">
        <v>152</v>
      </c>
      <c r="C1425" s="4">
        <v>9</v>
      </c>
      <c r="D1425" s="8">
        <v>1.95</v>
      </c>
      <c r="E1425" s="4">
        <v>0</v>
      </c>
      <c r="F1425" s="8">
        <v>0</v>
      </c>
      <c r="G1425" s="4">
        <v>9</v>
      </c>
      <c r="H1425" s="8">
        <v>4.2699999999999996</v>
      </c>
      <c r="I1425" s="4">
        <v>0</v>
      </c>
    </row>
    <row r="1426" spans="1:9" x14ac:dyDescent="0.2">
      <c r="A1426" s="2">
        <v>12</v>
      </c>
      <c r="B1426" s="1" t="s">
        <v>199</v>
      </c>
      <c r="C1426" s="4">
        <v>9</v>
      </c>
      <c r="D1426" s="8">
        <v>1.95</v>
      </c>
      <c r="E1426" s="4">
        <v>2</v>
      </c>
      <c r="F1426" s="8">
        <v>0.81</v>
      </c>
      <c r="G1426" s="4">
        <v>7</v>
      </c>
      <c r="H1426" s="8">
        <v>3.32</v>
      </c>
      <c r="I1426" s="4">
        <v>0</v>
      </c>
    </row>
    <row r="1427" spans="1:9" x14ac:dyDescent="0.2">
      <c r="A1427" s="2">
        <v>14</v>
      </c>
      <c r="B1427" s="1" t="s">
        <v>205</v>
      </c>
      <c r="C1427" s="4">
        <v>8</v>
      </c>
      <c r="D1427" s="8">
        <v>1.74</v>
      </c>
      <c r="E1427" s="4">
        <v>3</v>
      </c>
      <c r="F1427" s="8">
        <v>1.22</v>
      </c>
      <c r="G1427" s="4">
        <v>5</v>
      </c>
      <c r="H1427" s="8">
        <v>2.37</v>
      </c>
      <c r="I1427" s="4">
        <v>0</v>
      </c>
    </row>
    <row r="1428" spans="1:9" x14ac:dyDescent="0.2">
      <c r="A1428" s="2">
        <v>14</v>
      </c>
      <c r="B1428" s="1" t="s">
        <v>186</v>
      </c>
      <c r="C1428" s="4">
        <v>8</v>
      </c>
      <c r="D1428" s="8">
        <v>1.74</v>
      </c>
      <c r="E1428" s="4">
        <v>2</v>
      </c>
      <c r="F1428" s="8">
        <v>0.81</v>
      </c>
      <c r="G1428" s="4">
        <v>6</v>
      </c>
      <c r="H1428" s="8">
        <v>2.84</v>
      </c>
      <c r="I1428" s="4">
        <v>0</v>
      </c>
    </row>
    <row r="1429" spans="1:9" x14ac:dyDescent="0.2">
      <c r="A1429" s="2">
        <v>14</v>
      </c>
      <c r="B1429" s="1" t="s">
        <v>188</v>
      </c>
      <c r="C1429" s="4">
        <v>8</v>
      </c>
      <c r="D1429" s="8">
        <v>1.74</v>
      </c>
      <c r="E1429" s="4">
        <v>3</v>
      </c>
      <c r="F1429" s="8">
        <v>1.22</v>
      </c>
      <c r="G1429" s="4">
        <v>5</v>
      </c>
      <c r="H1429" s="8">
        <v>2.37</v>
      </c>
      <c r="I1429" s="4">
        <v>0</v>
      </c>
    </row>
    <row r="1430" spans="1:9" x14ac:dyDescent="0.2">
      <c r="A1430" s="2">
        <v>17</v>
      </c>
      <c r="B1430" s="1" t="s">
        <v>210</v>
      </c>
      <c r="C1430" s="4">
        <v>7</v>
      </c>
      <c r="D1430" s="8">
        <v>1.52</v>
      </c>
      <c r="E1430" s="4">
        <v>7</v>
      </c>
      <c r="F1430" s="8">
        <v>2.85</v>
      </c>
      <c r="G1430" s="4">
        <v>0</v>
      </c>
      <c r="H1430" s="8">
        <v>0</v>
      </c>
      <c r="I1430" s="4">
        <v>0</v>
      </c>
    </row>
    <row r="1431" spans="1:9" x14ac:dyDescent="0.2">
      <c r="A1431" s="2">
        <v>17</v>
      </c>
      <c r="B1431" s="1" t="s">
        <v>198</v>
      </c>
      <c r="C1431" s="4">
        <v>7</v>
      </c>
      <c r="D1431" s="8">
        <v>1.52</v>
      </c>
      <c r="E1431" s="4">
        <v>5</v>
      </c>
      <c r="F1431" s="8">
        <v>2.0299999999999998</v>
      </c>
      <c r="G1431" s="4">
        <v>2</v>
      </c>
      <c r="H1431" s="8">
        <v>0.95</v>
      </c>
      <c r="I1431" s="4">
        <v>0</v>
      </c>
    </row>
    <row r="1432" spans="1:9" x14ac:dyDescent="0.2">
      <c r="A1432" s="2">
        <v>19</v>
      </c>
      <c r="B1432" s="1" t="s">
        <v>200</v>
      </c>
      <c r="C1432" s="4">
        <v>6</v>
      </c>
      <c r="D1432" s="8">
        <v>1.3</v>
      </c>
      <c r="E1432" s="4">
        <v>2</v>
      </c>
      <c r="F1432" s="8">
        <v>0.81</v>
      </c>
      <c r="G1432" s="4">
        <v>4</v>
      </c>
      <c r="H1432" s="8">
        <v>1.9</v>
      </c>
      <c r="I1432" s="4">
        <v>0</v>
      </c>
    </row>
    <row r="1433" spans="1:9" x14ac:dyDescent="0.2">
      <c r="A1433" s="2">
        <v>19</v>
      </c>
      <c r="B1433" s="1" t="s">
        <v>173</v>
      </c>
      <c r="C1433" s="4">
        <v>6</v>
      </c>
      <c r="D1433" s="8">
        <v>1.3</v>
      </c>
      <c r="E1433" s="4">
        <v>1</v>
      </c>
      <c r="F1433" s="8">
        <v>0.41</v>
      </c>
      <c r="G1433" s="4">
        <v>5</v>
      </c>
      <c r="H1433" s="8">
        <v>2.37</v>
      </c>
      <c r="I1433" s="4">
        <v>0</v>
      </c>
    </row>
    <row r="1434" spans="1:9" x14ac:dyDescent="0.2">
      <c r="A1434" s="2">
        <v>19</v>
      </c>
      <c r="B1434" s="1" t="s">
        <v>176</v>
      </c>
      <c r="C1434" s="4">
        <v>6</v>
      </c>
      <c r="D1434" s="8">
        <v>1.3</v>
      </c>
      <c r="E1434" s="4">
        <v>6</v>
      </c>
      <c r="F1434" s="8">
        <v>2.44</v>
      </c>
      <c r="G1434" s="4">
        <v>0</v>
      </c>
      <c r="H1434" s="8">
        <v>0</v>
      </c>
      <c r="I1434" s="4">
        <v>0</v>
      </c>
    </row>
    <row r="1435" spans="1:9" x14ac:dyDescent="0.2">
      <c r="A1435" s="2">
        <v>19</v>
      </c>
      <c r="B1435" s="1" t="s">
        <v>179</v>
      </c>
      <c r="C1435" s="4">
        <v>6</v>
      </c>
      <c r="D1435" s="8">
        <v>1.3</v>
      </c>
      <c r="E1435" s="4">
        <v>5</v>
      </c>
      <c r="F1435" s="8">
        <v>2.0299999999999998</v>
      </c>
      <c r="G1435" s="4">
        <v>1</v>
      </c>
      <c r="H1435" s="8">
        <v>0.47</v>
      </c>
      <c r="I1435" s="4">
        <v>0</v>
      </c>
    </row>
    <row r="1436" spans="1:9" x14ac:dyDescent="0.2">
      <c r="A1436" s="2">
        <v>19</v>
      </c>
      <c r="B1436" s="1" t="s">
        <v>226</v>
      </c>
      <c r="C1436" s="4">
        <v>6</v>
      </c>
      <c r="D1436" s="8">
        <v>1.3</v>
      </c>
      <c r="E1436" s="4">
        <v>0</v>
      </c>
      <c r="F1436" s="8">
        <v>0</v>
      </c>
      <c r="G1436" s="4">
        <v>6</v>
      </c>
      <c r="H1436" s="8">
        <v>2.84</v>
      </c>
      <c r="I1436" s="4">
        <v>0</v>
      </c>
    </row>
    <row r="1437" spans="1:9" x14ac:dyDescent="0.2">
      <c r="A1437" s="1"/>
      <c r="C1437" s="4"/>
      <c r="D1437" s="8"/>
      <c r="E1437" s="4"/>
      <c r="F1437" s="8"/>
      <c r="G1437" s="4"/>
      <c r="H1437" s="8"/>
      <c r="I1437" s="4"/>
    </row>
    <row r="1438" spans="1:9" x14ac:dyDescent="0.2">
      <c r="A1438" s="1" t="s">
        <v>63</v>
      </c>
      <c r="C1438" s="4"/>
      <c r="D1438" s="8"/>
      <c r="E1438" s="4"/>
      <c r="F1438" s="8"/>
      <c r="G1438" s="4"/>
      <c r="H1438" s="8"/>
      <c r="I1438" s="4"/>
    </row>
    <row r="1439" spans="1:9" x14ac:dyDescent="0.2">
      <c r="A1439" s="2">
        <v>1</v>
      </c>
      <c r="B1439" s="1" t="s">
        <v>161</v>
      </c>
      <c r="C1439" s="4">
        <v>39</v>
      </c>
      <c r="D1439" s="8">
        <v>5.28</v>
      </c>
      <c r="E1439" s="4">
        <v>16</v>
      </c>
      <c r="F1439" s="8">
        <v>4.58</v>
      </c>
      <c r="G1439" s="4">
        <v>23</v>
      </c>
      <c r="H1439" s="8">
        <v>6.05</v>
      </c>
      <c r="I1439" s="4">
        <v>0</v>
      </c>
    </row>
    <row r="1440" spans="1:9" x14ac:dyDescent="0.2">
      <c r="A1440" s="2">
        <v>2</v>
      </c>
      <c r="B1440" s="1" t="s">
        <v>168</v>
      </c>
      <c r="C1440" s="4">
        <v>26</v>
      </c>
      <c r="D1440" s="8">
        <v>3.52</v>
      </c>
      <c r="E1440" s="4">
        <v>23</v>
      </c>
      <c r="F1440" s="8">
        <v>6.59</v>
      </c>
      <c r="G1440" s="4">
        <v>3</v>
      </c>
      <c r="H1440" s="8">
        <v>0.79</v>
      </c>
      <c r="I1440" s="4">
        <v>0</v>
      </c>
    </row>
    <row r="1441" spans="1:9" x14ac:dyDescent="0.2">
      <c r="A1441" s="2">
        <v>3</v>
      </c>
      <c r="B1441" s="1" t="s">
        <v>171</v>
      </c>
      <c r="C1441" s="4">
        <v>25</v>
      </c>
      <c r="D1441" s="8">
        <v>3.38</v>
      </c>
      <c r="E1441" s="4">
        <v>21</v>
      </c>
      <c r="F1441" s="8">
        <v>6.02</v>
      </c>
      <c r="G1441" s="4">
        <v>4</v>
      </c>
      <c r="H1441" s="8">
        <v>1.05</v>
      </c>
      <c r="I1441" s="4">
        <v>0</v>
      </c>
    </row>
    <row r="1442" spans="1:9" x14ac:dyDescent="0.2">
      <c r="A1442" s="2">
        <v>4</v>
      </c>
      <c r="B1442" s="1" t="s">
        <v>167</v>
      </c>
      <c r="C1442" s="4">
        <v>23</v>
      </c>
      <c r="D1442" s="8">
        <v>3.11</v>
      </c>
      <c r="E1442" s="4">
        <v>23</v>
      </c>
      <c r="F1442" s="8">
        <v>6.59</v>
      </c>
      <c r="G1442" s="4">
        <v>0</v>
      </c>
      <c r="H1442" s="8">
        <v>0</v>
      </c>
      <c r="I1442" s="4">
        <v>0</v>
      </c>
    </row>
    <row r="1443" spans="1:9" x14ac:dyDescent="0.2">
      <c r="A1443" s="2">
        <v>5</v>
      </c>
      <c r="B1443" s="1" t="s">
        <v>152</v>
      </c>
      <c r="C1443" s="4">
        <v>20</v>
      </c>
      <c r="D1443" s="8">
        <v>2.71</v>
      </c>
      <c r="E1443" s="4">
        <v>4</v>
      </c>
      <c r="F1443" s="8">
        <v>1.1499999999999999</v>
      </c>
      <c r="G1443" s="4">
        <v>16</v>
      </c>
      <c r="H1443" s="8">
        <v>4.21</v>
      </c>
      <c r="I1443" s="4">
        <v>0</v>
      </c>
    </row>
    <row r="1444" spans="1:9" x14ac:dyDescent="0.2">
      <c r="A1444" s="2">
        <v>6</v>
      </c>
      <c r="B1444" s="1" t="s">
        <v>160</v>
      </c>
      <c r="C1444" s="4">
        <v>19</v>
      </c>
      <c r="D1444" s="8">
        <v>2.57</v>
      </c>
      <c r="E1444" s="4">
        <v>0</v>
      </c>
      <c r="F1444" s="8">
        <v>0</v>
      </c>
      <c r="G1444" s="4">
        <v>19</v>
      </c>
      <c r="H1444" s="8">
        <v>5</v>
      </c>
      <c r="I1444" s="4">
        <v>0</v>
      </c>
    </row>
    <row r="1445" spans="1:9" x14ac:dyDescent="0.2">
      <c r="A1445" s="2">
        <v>7</v>
      </c>
      <c r="B1445" s="1" t="s">
        <v>154</v>
      </c>
      <c r="C1445" s="4">
        <v>18</v>
      </c>
      <c r="D1445" s="8">
        <v>2.44</v>
      </c>
      <c r="E1445" s="4">
        <v>6</v>
      </c>
      <c r="F1445" s="8">
        <v>1.72</v>
      </c>
      <c r="G1445" s="4">
        <v>12</v>
      </c>
      <c r="H1445" s="8">
        <v>3.16</v>
      </c>
      <c r="I1445" s="4">
        <v>0</v>
      </c>
    </row>
    <row r="1446" spans="1:9" x14ac:dyDescent="0.2">
      <c r="A1446" s="2">
        <v>7</v>
      </c>
      <c r="B1446" s="1" t="s">
        <v>165</v>
      </c>
      <c r="C1446" s="4">
        <v>18</v>
      </c>
      <c r="D1446" s="8">
        <v>2.44</v>
      </c>
      <c r="E1446" s="4">
        <v>18</v>
      </c>
      <c r="F1446" s="8">
        <v>5.16</v>
      </c>
      <c r="G1446" s="4">
        <v>0</v>
      </c>
      <c r="H1446" s="8">
        <v>0</v>
      </c>
      <c r="I1446" s="4">
        <v>0</v>
      </c>
    </row>
    <row r="1447" spans="1:9" x14ac:dyDescent="0.2">
      <c r="A1447" s="2">
        <v>7</v>
      </c>
      <c r="B1447" s="1" t="s">
        <v>170</v>
      </c>
      <c r="C1447" s="4">
        <v>18</v>
      </c>
      <c r="D1447" s="8">
        <v>2.44</v>
      </c>
      <c r="E1447" s="4">
        <v>14</v>
      </c>
      <c r="F1447" s="8">
        <v>4.01</v>
      </c>
      <c r="G1447" s="4">
        <v>4</v>
      </c>
      <c r="H1447" s="8">
        <v>1.05</v>
      </c>
      <c r="I1447" s="4">
        <v>0</v>
      </c>
    </row>
    <row r="1448" spans="1:9" x14ac:dyDescent="0.2">
      <c r="A1448" s="2">
        <v>10</v>
      </c>
      <c r="B1448" s="1" t="s">
        <v>163</v>
      </c>
      <c r="C1448" s="4">
        <v>17</v>
      </c>
      <c r="D1448" s="8">
        <v>2.2999999999999998</v>
      </c>
      <c r="E1448" s="4">
        <v>9</v>
      </c>
      <c r="F1448" s="8">
        <v>2.58</v>
      </c>
      <c r="G1448" s="4">
        <v>8</v>
      </c>
      <c r="H1448" s="8">
        <v>2.11</v>
      </c>
      <c r="I1448" s="4">
        <v>0</v>
      </c>
    </row>
    <row r="1449" spans="1:9" x14ac:dyDescent="0.2">
      <c r="A1449" s="2">
        <v>11</v>
      </c>
      <c r="B1449" s="1" t="s">
        <v>202</v>
      </c>
      <c r="C1449" s="4">
        <v>16</v>
      </c>
      <c r="D1449" s="8">
        <v>2.17</v>
      </c>
      <c r="E1449" s="4">
        <v>3</v>
      </c>
      <c r="F1449" s="8">
        <v>0.86</v>
      </c>
      <c r="G1449" s="4">
        <v>13</v>
      </c>
      <c r="H1449" s="8">
        <v>3.42</v>
      </c>
      <c r="I1449" s="4">
        <v>0</v>
      </c>
    </row>
    <row r="1450" spans="1:9" x14ac:dyDescent="0.2">
      <c r="A1450" s="2">
        <v>12</v>
      </c>
      <c r="B1450" s="1" t="s">
        <v>156</v>
      </c>
      <c r="C1450" s="4">
        <v>14</v>
      </c>
      <c r="D1450" s="8">
        <v>1.89</v>
      </c>
      <c r="E1450" s="4">
        <v>9</v>
      </c>
      <c r="F1450" s="8">
        <v>2.58</v>
      </c>
      <c r="G1450" s="4">
        <v>5</v>
      </c>
      <c r="H1450" s="8">
        <v>1.32</v>
      </c>
      <c r="I1450" s="4">
        <v>0</v>
      </c>
    </row>
    <row r="1451" spans="1:9" x14ac:dyDescent="0.2">
      <c r="A1451" s="2">
        <v>13</v>
      </c>
      <c r="B1451" s="1" t="s">
        <v>158</v>
      </c>
      <c r="C1451" s="4">
        <v>12</v>
      </c>
      <c r="D1451" s="8">
        <v>1.62</v>
      </c>
      <c r="E1451" s="4">
        <v>6</v>
      </c>
      <c r="F1451" s="8">
        <v>1.72</v>
      </c>
      <c r="G1451" s="4">
        <v>6</v>
      </c>
      <c r="H1451" s="8">
        <v>1.58</v>
      </c>
      <c r="I1451" s="4">
        <v>0</v>
      </c>
    </row>
    <row r="1452" spans="1:9" x14ac:dyDescent="0.2">
      <c r="A1452" s="2">
        <v>14</v>
      </c>
      <c r="B1452" s="1" t="s">
        <v>191</v>
      </c>
      <c r="C1452" s="4">
        <v>11</v>
      </c>
      <c r="D1452" s="8">
        <v>1.49</v>
      </c>
      <c r="E1452" s="4">
        <v>3</v>
      </c>
      <c r="F1452" s="8">
        <v>0.86</v>
      </c>
      <c r="G1452" s="4">
        <v>8</v>
      </c>
      <c r="H1452" s="8">
        <v>2.11</v>
      </c>
      <c r="I1452" s="4">
        <v>0</v>
      </c>
    </row>
    <row r="1453" spans="1:9" x14ac:dyDescent="0.2">
      <c r="A1453" s="2">
        <v>14</v>
      </c>
      <c r="B1453" s="1" t="s">
        <v>157</v>
      </c>
      <c r="C1453" s="4">
        <v>11</v>
      </c>
      <c r="D1453" s="8">
        <v>1.49</v>
      </c>
      <c r="E1453" s="4">
        <v>4</v>
      </c>
      <c r="F1453" s="8">
        <v>1.1499999999999999</v>
      </c>
      <c r="G1453" s="4">
        <v>7</v>
      </c>
      <c r="H1453" s="8">
        <v>1.84</v>
      </c>
      <c r="I1453" s="4">
        <v>0</v>
      </c>
    </row>
    <row r="1454" spans="1:9" x14ac:dyDescent="0.2">
      <c r="A1454" s="2">
        <v>16</v>
      </c>
      <c r="B1454" s="1" t="s">
        <v>197</v>
      </c>
      <c r="C1454" s="4">
        <v>10</v>
      </c>
      <c r="D1454" s="8">
        <v>1.35</v>
      </c>
      <c r="E1454" s="4">
        <v>1</v>
      </c>
      <c r="F1454" s="8">
        <v>0.28999999999999998</v>
      </c>
      <c r="G1454" s="4">
        <v>9</v>
      </c>
      <c r="H1454" s="8">
        <v>2.37</v>
      </c>
      <c r="I1454" s="4">
        <v>0</v>
      </c>
    </row>
    <row r="1455" spans="1:9" x14ac:dyDescent="0.2">
      <c r="A1455" s="2">
        <v>16</v>
      </c>
      <c r="B1455" s="1" t="s">
        <v>169</v>
      </c>
      <c r="C1455" s="4">
        <v>10</v>
      </c>
      <c r="D1455" s="8">
        <v>1.35</v>
      </c>
      <c r="E1455" s="4">
        <v>7</v>
      </c>
      <c r="F1455" s="8">
        <v>2.0099999999999998</v>
      </c>
      <c r="G1455" s="4">
        <v>3</v>
      </c>
      <c r="H1455" s="8">
        <v>0.79</v>
      </c>
      <c r="I1455" s="4">
        <v>0</v>
      </c>
    </row>
    <row r="1456" spans="1:9" x14ac:dyDescent="0.2">
      <c r="A1456" s="2">
        <v>18</v>
      </c>
      <c r="B1456" s="1" t="s">
        <v>200</v>
      </c>
      <c r="C1456" s="4">
        <v>9</v>
      </c>
      <c r="D1456" s="8">
        <v>1.22</v>
      </c>
      <c r="E1456" s="4">
        <v>3</v>
      </c>
      <c r="F1456" s="8">
        <v>0.86</v>
      </c>
      <c r="G1456" s="4">
        <v>6</v>
      </c>
      <c r="H1456" s="8">
        <v>1.58</v>
      </c>
      <c r="I1456" s="4">
        <v>0</v>
      </c>
    </row>
    <row r="1457" spans="1:9" x14ac:dyDescent="0.2">
      <c r="A1457" s="2">
        <v>18</v>
      </c>
      <c r="B1457" s="1" t="s">
        <v>201</v>
      </c>
      <c r="C1457" s="4">
        <v>9</v>
      </c>
      <c r="D1457" s="8">
        <v>1.22</v>
      </c>
      <c r="E1457" s="4">
        <v>1</v>
      </c>
      <c r="F1457" s="8">
        <v>0.28999999999999998</v>
      </c>
      <c r="G1457" s="4">
        <v>8</v>
      </c>
      <c r="H1457" s="8">
        <v>2.11</v>
      </c>
      <c r="I1457" s="4">
        <v>0</v>
      </c>
    </row>
    <row r="1458" spans="1:9" x14ac:dyDescent="0.2">
      <c r="A1458" s="2">
        <v>18</v>
      </c>
      <c r="B1458" s="1" t="s">
        <v>244</v>
      </c>
      <c r="C1458" s="4">
        <v>9</v>
      </c>
      <c r="D1458" s="8">
        <v>1.22</v>
      </c>
      <c r="E1458" s="4">
        <v>4</v>
      </c>
      <c r="F1458" s="8">
        <v>1.1499999999999999</v>
      </c>
      <c r="G1458" s="4">
        <v>5</v>
      </c>
      <c r="H1458" s="8">
        <v>1.32</v>
      </c>
      <c r="I1458" s="4">
        <v>0</v>
      </c>
    </row>
    <row r="1459" spans="1:9" x14ac:dyDescent="0.2">
      <c r="A1459" s="2">
        <v>18</v>
      </c>
      <c r="B1459" s="1" t="s">
        <v>164</v>
      </c>
      <c r="C1459" s="4">
        <v>9</v>
      </c>
      <c r="D1459" s="8">
        <v>1.22</v>
      </c>
      <c r="E1459" s="4">
        <v>8</v>
      </c>
      <c r="F1459" s="8">
        <v>2.29</v>
      </c>
      <c r="G1459" s="4">
        <v>1</v>
      </c>
      <c r="H1459" s="8">
        <v>0.26</v>
      </c>
      <c r="I1459" s="4">
        <v>0</v>
      </c>
    </row>
    <row r="1460" spans="1:9" x14ac:dyDescent="0.2">
      <c r="A1460" s="1"/>
      <c r="C1460" s="4"/>
      <c r="D1460" s="8"/>
      <c r="E1460" s="4"/>
      <c r="F1460" s="8"/>
      <c r="G1460" s="4"/>
      <c r="H1460" s="8"/>
      <c r="I1460" s="4"/>
    </row>
    <row r="1461" spans="1:9" x14ac:dyDescent="0.2">
      <c r="A1461" s="1" t="s">
        <v>64</v>
      </c>
      <c r="C1461" s="4"/>
      <c r="D1461" s="8"/>
      <c r="E1461" s="4"/>
      <c r="F1461" s="8"/>
      <c r="G1461" s="4"/>
      <c r="H1461" s="8"/>
      <c r="I1461" s="4"/>
    </row>
    <row r="1462" spans="1:9" x14ac:dyDescent="0.2">
      <c r="A1462" s="2">
        <v>1</v>
      </c>
      <c r="B1462" s="1" t="s">
        <v>249</v>
      </c>
      <c r="C1462" s="4">
        <v>65</v>
      </c>
      <c r="D1462" s="8">
        <v>10.029999999999999</v>
      </c>
      <c r="E1462" s="4">
        <v>55</v>
      </c>
      <c r="F1462" s="8">
        <v>11.27</v>
      </c>
      <c r="G1462" s="4">
        <v>10</v>
      </c>
      <c r="H1462" s="8">
        <v>6.49</v>
      </c>
      <c r="I1462" s="4">
        <v>0</v>
      </c>
    </row>
    <row r="1463" spans="1:9" x14ac:dyDescent="0.2">
      <c r="A1463" s="2">
        <v>2</v>
      </c>
      <c r="B1463" s="1" t="s">
        <v>245</v>
      </c>
      <c r="C1463" s="4">
        <v>31</v>
      </c>
      <c r="D1463" s="8">
        <v>4.78</v>
      </c>
      <c r="E1463" s="4">
        <v>16</v>
      </c>
      <c r="F1463" s="8">
        <v>3.28</v>
      </c>
      <c r="G1463" s="4">
        <v>15</v>
      </c>
      <c r="H1463" s="8">
        <v>9.74</v>
      </c>
      <c r="I1463" s="4">
        <v>0</v>
      </c>
    </row>
    <row r="1464" spans="1:9" x14ac:dyDescent="0.2">
      <c r="A1464" s="2">
        <v>3</v>
      </c>
      <c r="B1464" s="1" t="s">
        <v>250</v>
      </c>
      <c r="C1464" s="4">
        <v>24</v>
      </c>
      <c r="D1464" s="8">
        <v>3.7</v>
      </c>
      <c r="E1464" s="4">
        <v>21</v>
      </c>
      <c r="F1464" s="8">
        <v>4.3</v>
      </c>
      <c r="G1464" s="4">
        <v>3</v>
      </c>
      <c r="H1464" s="8">
        <v>1.95</v>
      </c>
      <c r="I1464" s="4">
        <v>0</v>
      </c>
    </row>
    <row r="1465" spans="1:9" x14ac:dyDescent="0.2">
      <c r="A1465" s="2">
        <v>4</v>
      </c>
      <c r="B1465" s="1" t="s">
        <v>186</v>
      </c>
      <c r="C1465" s="4">
        <v>23</v>
      </c>
      <c r="D1465" s="8">
        <v>3.55</v>
      </c>
      <c r="E1465" s="4">
        <v>19</v>
      </c>
      <c r="F1465" s="8">
        <v>3.89</v>
      </c>
      <c r="G1465" s="4">
        <v>4</v>
      </c>
      <c r="H1465" s="8">
        <v>2.6</v>
      </c>
      <c r="I1465" s="4">
        <v>0</v>
      </c>
    </row>
    <row r="1466" spans="1:9" x14ac:dyDescent="0.2">
      <c r="A1466" s="2">
        <v>5</v>
      </c>
      <c r="B1466" s="1" t="s">
        <v>165</v>
      </c>
      <c r="C1466" s="4">
        <v>21</v>
      </c>
      <c r="D1466" s="8">
        <v>3.24</v>
      </c>
      <c r="E1466" s="4">
        <v>20</v>
      </c>
      <c r="F1466" s="8">
        <v>4.0999999999999996</v>
      </c>
      <c r="G1466" s="4">
        <v>1</v>
      </c>
      <c r="H1466" s="8">
        <v>0.65</v>
      </c>
      <c r="I1466" s="4">
        <v>0</v>
      </c>
    </row>
    <row r="1467" spans="1:9" x14ac:dyDescent="0.2">
      <c r="A1467" s="2">
        <v>6</v>
      </c>
      <c r="B1467" s="1" t="s">
        <v>163</v>
      </c>
      <c r="C1467" s="4">
        <v>19</v>
      </c>
      <c r="D1467" s="8">
        <v>2.93</v>
      </c>
      <c r="E1467" s="4">
        <v>18</v>
      </c>
      <c r="F1467" s="8">
        <v>3.69</v>
      </c>
      <c r="G1467" s="4">
        <v>1</v>
      </c>
      <c r="H1467" s="8">
        <v>0.65</v>
      </c>
      <c r="I1467" s="4">
        <v>0</v>
      </c>
    </row>
    <row r="1468" spans="1:9" x14ac:dyDescent="0.2">
      <c r="A1468" s="2">
        <v>7</v>
      </c>
      <c r="B1468" s="1" t="s">
        <v>167</v>
      </c>
      <c r="C1468" s="4">
        <v>18</v>
      </c>
      <c r="D1468" s="8">
        <v>2.78</v>
      </c>
      <c r="E1468" s="4">
        <v>18</v>
      </c>
      <c r="F1468" s="8">
        <v>3.69</v>
      </c>
      <c r="G1468" s="4">
        <v>0</v>
      </c>
      <c r="H1468" s="8">
        <v>0</v>
      </c>
      <c r="I1468" s="4">
        <v>0</v>
      </c>
    </row>
    <row r="1469" spans="1:9" x14ac:dyDescent="0.2">
      <c r="A1469" s="2">
        <v>8</v>
      </c>
      <c r="B1469" s="1" t="s">
        <v>158</v>
      </c>
      <c r="C1469" s="4">
        <v>16</v>
      </c>
      <c r="D1469" s="8">
        <v>2.4700000000000002</v>
      </c>
      <c r="E1469" s="4">
        <v>14</v>
      </c>
      <c r="F1469" s="8">
        <v>2.87</v>
      </c>
      <c r="G1469" s="4">
        <v>2</v>
      </c>
      <c r="H1469" s="8">
        <v>1.3</v>
      </c>
      <c r="I1469" s="4">
        <v>0</v>
      </c>
    </row>
    <row r="1470" spans="1:9" x14ac:dyDescent="0.2">
      <c r="A1470" s="2">
        <v>9</v>
      </c>
      <c r="B1470" s="1" t="s">
        <v>194</v>
      </c>
      <c r="C1470" s="4">
        <v>15</v>
      </c>
      <c r="D1470" s="8">
        <v>2.31</v>
      </c>
      <c r="E1470" s="4">
        <v>8</v>
      </c>
      <c r="F1470" s="8">
        <v>1.64</v>
      </c>
      <c r="G1470" s="4">
        <v>7</v>
      </c>
      <c r="H1470" s="8">
        <v>4.55</v>
      </c>
      <c r="I1470" s="4">
        <v>0</v>
      </c>
    </row>
    <row r="1471" spans="1:9" x14ac:dyDescent="0.2">
      <c r="A1471" s="2">
        <v>9</v>
      </c>
      <c r="B1471" s="1" t="s">
        <v>168</v>
      </c>
      <c r="C1471" s="4">
        <v>15</v>
      </c>
      <c r="D1471" s="8">
        <v>2.31</v>
      </c>
      <c r="E1471" s="4">
        <v>15</v>
      </c>
      <c r="F1471" s="8">
        <v>3.07</v>
      </c>
      <c r="G1471" s="4">
        <v>0</v>
      </c>
      <c r="H1471" s="8">
        <v>0</v>
      </c>
      <c r="I1471" s="4">
        <v>0</v>
      </c>
    </row>
    <row r="1472" spans="1:9" x14ac:dyDescent="0.2">
      <c r="A1472" s="2">
        <v>11</v>
      </c>
      <c r="B1472" s="1" t="s">
        <v>210</v>
      </c>
      <c r="C1472" s="4">
        <v>14</v>
      </c>
      <c r="D1472" s="8">
        <v>2.16</v>
      </c>
      <c r="E1472" s="4">
        <v>10</v>
      </c>
      <c r="F1472" s="8">
        <v>2.0499999999999998</v>
      </c>
      <c r="G1472" s="4">
        <v>4</v>
      </c>
      <c r="H1472" s="8">
        <v>2.6</v>
      </c>
      <c r="I1472" s="4">
        <v>0</v>
      </c>
    </row>
    <row r="1473" spans="1:9" x14ac:dyDescent="0.2">
      <c r="A1473" s="2">
        <v>11</v>
      </c>
      <c r="B1473" s="1" t="s">
        <v>156</v>
      </c>
      <c r="C1473" s="4">
        <v>14</v>
      </c>
      <c r="D1473" s="8">
        <v>2.16</v>
      </c>
      <c r="E1473" s="4">
        <v>12</v>
      </c>
      <c r="F1473" s="8">
        <v>2.46</v>
      </c>
      <c r="G1473" s="4">
        <v>2</v>
      </c>
      <c r="H1473" s="8">
        <v>1.3</v>
      </c>
      <c r="I1473" s="4">
        <v>0</v>
      </c>
    </row>
    <row r="1474" spans="1:9" x14ac:dyDescent="0.2">
      <c r="A1474" s="2">
        <v>13</v>
      </c>
      <c r="B1474" s="1" t="s">
        <v>154</v>
      </c>
      <c r="C1474" s="4">
        <v>13</v>
      </c>
      <c r="D1474" s="8">
        <v>2.0099999999999998</v>
      </c>
      <c r="E1474" s="4">
        <v>9</v>
      </c>
      <c r="F1474" s="8">
        <v>1.84</v>
      </c>
      <c r="G1474" s="4">
        <v>4</v>
      </c>
      <c r="H1474" s="8">
        <v>2.6</v>
      </c>
      <c r="I1474" s="4">
        <v>0</v>
      </c>
    </row>
    <row r="1475" spans="1:9" x14ac:dyDescent="0.2">
      <c r="A1475" s="2">
        <v>14</v>
      </c>
      <c r="B1475" s="1" t="s">
        <v>246</v>
      </c>
      <c r="C1475" s="4">
        <v>11</v>
      </c>
      <c r="D1475" s="8">
        <v>1.7</v>
      </c>
      <c r="E1475" s="4">
        <v>6</v>
      </c>
      <c r="F1475" s="8">
        <v>1.23</v>
      </c>
      <c r="G1475" s="4">
        <v>5</v>
      </c>
      <c r="H1475" s="8">
        <v>3.25</v>
      </c>
      <c r="I1475" s="4">
        <v>0</v>
      </c>
    </row>
    <row r="1476" spans="1:9" x14ac:dyDescent="0.2">
      <c r="A1476" s="2">
        <v>14</v>
      </c>
      <c r="B1476" s="1" t="s">
        <v>188</v>
      </c>
      <c r="C1476" s="4">
        <v>11</v>
      </c>
      <c r="D1476" s="8">
        <v>1.7</v>
      </c>
      <c r="E1476" s="4">
        <v>10</v>
      </c>
      <c r="F1476" s="8">
        <v>2.0499999999999998</v>
      </c>
      <c r="G1476" s="4">
        <v>1</v>
      </c>
      <c r="H1476" s="8">
        <v>0.65</v>
      </c>
      <c r="I1476" s="4">
        <v>0</v>
      </c>
    </row>
    <row r="1477" spans="1:9" x14ac:dyDescent="0.2">
      <c r="A1477" s="2">
        <v>16</v>
      </c>
      <c r="B1477" s="1" t="s">
        <v>205</v>
      </c>
      <c r="C1477" s="4">
        <v>9</v>
      </c>
      <c r="D1477" s="8">
        <v>1.39</v>
      </c>
      <c r="E1477" s="4">
        <v>7</v>
      </c>
      <c r="F1477" s="8">
        <v>1.43</v>
      </c>
      <c r="G1477" s="4">
        <v>2</v>
      </c>
      <c r="H1477" s="8">
        <v>1.3</v>
      </c>
      <c r="I1477" s="4">
        <v>0</v>
      </c>
    </row>
    <row r="1478" spans="1:9" x14ac:dyDescent="0.2">
      <c r="A1478" s="2">
        <v>16</v>
      </c>
      <c r="B1478" s="1" t="s">
        <v>198</v>
      </c>
      <c r="C1478" s="4">
        <v>9</v>
      </c>
      <c r="D1478" s="8">
        <v>1.39</v>
      </c>
      <c r="E1478" s="4">
        <v>8</v>
      </c>
      <c r="F1478" s="8">
        <v>1.64</v>
      </c>
      <c r="G1478" s="4">
        <v>1</v>
      </c>
      <c r="H1478" s="8">
        <v>0.65</v>
      </c>
      <c r="I1478" s="4">
        <v>0</v>
      </c>
    </row>
    <row r="1479" spans="1:9" x14ac:dyDescent="0.2">
      <c r="A1479" s="2">
        <v>16</v>
      </c>
      <c r="B1479" s="1" t="s">
        <v>157</v>
      </c>
      <c r="C1479" s="4">
        <v>9</v>
      </c>
      <c r="D1479" s="8">
        <v>1.39</v>
      </c>
      <c r="E1479" s="4">
        <v>6</v>
      </c>
      <c r="F1479" s="8">
        <v>1.23</v>
      </c>
      <c r="G1479" s="4">
        <v>3</v>
      </c>
      <c r="H1479" s="8">
        <v>1.95</v>
      </c>
      <c r="I1479" s="4">
        <v>0</v>
      </c>
    </row>
    <row r="1480" spans="1:9" x14ac:dyDescent="0.2">
      <c r="A1480" s="2">
        <v>16</v>
      </c>
      <c r="B1480" s="1" t="s">
        <v>164</v>
      </c>
      <c r="C1480" s="4">
        <v>9</v>
      </c>
      <c r="D1480" s="8">
        <v>1.39</v>
      </c>
      <c r="E1480" s="4">
        <v>7</v>
      </c>
      <c r="F1480" s="8">
        <v>1.43</v>
      </c>
      <c r="G1480" s="4">
        <v>2</v>
      </c>
      <c r="H1480" s="8">
        <v>1.3</v>
      </c>
      <c r="I1480" s="4">
        <v>0</v>
      </c>
    </row>
    <row r="1481" spans="1:9" x14ac:dyDescent="0.2">
      <c r="A1481" s="2">
        <v>20</v>
      </c>
      <c r="B1481" s="1" t="s">
        <v>247</v>
      </c>
      <c r="C1481" s="4">
        <v>8</v>
      </c>
      <c r="D1481" s="8">
        <v>1.23</v>
      </c>
      <c r="E1481" s="4">
        <v>3</v>
      </c>
      <c r="F1481" s="8">
        <v>0.61</v>
      </c>
      <c r="G1481" s="4">
        <v>5</v>
      </c>
      <c r="H1481" s="8">
        <v>3.25</v>
      </c>
      <c r="I1481" s="4">
        <v>0</v>
      </c>
    </row>
    <row r="1482" spans="1:9" x14ac:dyDescent="0.2">
      <c r="A1482" s="2">
        <v>20</v>
      </c>
      <c r="B1482" s="1" t="s">
        <v>248</v>
      </c>
      <c r="C1482" s="4">
        <v>8</v>
      </c>
      <c r="D1482" s="8">
        <v>1.23</v>
      </c>
      <c r="E1482" s="4">
        <v>7</v>
      </c>
      <c r="F1482" s="8">
        <v>1.43</v>
      </c>
      <c r="G1482" s="4">
        <v>1</v>
      </c>
      <c r="H1482" s="8">
        <v>0.65</v>
      </c>
      <c r="I1482" s="4">
        <v>0</v>
      </c>
    </row>
    <row r="1483" spans="1:9" x14ac:dyDescent="0.2">
      <c r="A1483" s="2">
        <v>20</v>
      </c>
      <c r="B1483" s="1" t="s">
        <v>218</v>
      </c>
      <c r="C1483" s="4">
        <v>8</v>
      </c>
      <c r="D1483" s="8">
        <v>1.23</v>
      </c>
      <c r="E1483" s="4">
        <v>8</v>
      </c>
      <c r="F1483" s="8">
        <v>1.64</v>
      </c>
      <c r="G1483" s="4">
        <v>0</v>
      </c>
      <c r="H1483" s="8">
        <v>0</v>
      </c>
      <c r="I1483" s="4">
        <v>0</v>
      </c>
    </row>
    <row r="1484" spans="1:9" x14ac:dyDescent="0.2">
      <c r="A1484" s="2">
        <v>20</v>
      </c>
      <c r="B1484" s="1" t="s">
        <v>171</v>
      </c>
      <c r="C1484" s="4">
        <v>8</v>
      </c>
      <c r="D1484" s="8">
        <v>1.23</v>
      </c>
      <c r="E1484" s="4">
        <v>8</v>
      </c>
      <c r="F1484" s="8">
        <v>1.64</v>
      </c>
      <c r="G1484" s="4">
        <v>0</v>
      </c>
      <c r="H1484" s="8">
        <v>0</v>
      </c>
      <c r="I1484" s="4">
        <v>0</v>
      </c>
    </row>
    <row r="1485" spans="1:9" x14ac:dyDescent="0.2">
      <c r="A1485" s="1"/>
      <c r="C1485" s="4"/>
      <c r="D1485" s="8"/>
      <c r="E1485" s="4"/>
      <c r="F1485" s="8"/>
      <c r="G1485" s="4"/>
      <c r="H1485" s="8"/>
      <c r="I1485" s="4"/>
    </row>
    <row r="1486" spans="1:9" x14ac:dyDescent="0.2">
      <c r="A1486" s="1" t="s">
        <v>65</v>
      </c>
      <c r="C1486" s="4"/>
      <c r="D1486" s="8"/>
      <c r="E1486" s="4"/>
      <c r="F1486" s="8"/>
      <c r="G1486" s="4"/>
      <c r="H1486" s="8"/>
      <c r="I1486" s="4"/>
    </row>
    <row r="1487" spans="1:9" x14ac:dyDescent="0.2">
      <c r="A1487" s="2">
        <v>1</v>
      </c>
      <c r="B1487" s="1" t="s">
        <v>161</v>
      </c>
      <c r="C1487" s="4">
        <v>68</v>
      </c>
      <c r="D1487" s="8">
        <v>12.27</v>
      </c>
      <c r="E1487" s="4">
        <v>62</v>
      </c>
      <c r="F1487" s="8">
        <v>16.45</v>
      </c>
      <c r="G1487" s="4">
        <v>5</v>
      </c>
      <c r="H1487" s="8">
        <v>2.96</v>
      </c>
      <c r="I1487" s="4">
        <v>1</v>
      </c>
    </row>
    <row r="1488" spans="1:9" x14ac:dyDescent="0.2">
      <c r="A1488" s="2">
        <v>2</v>
      </c>
      <c r="B1488" s="1" t="s">
        <v>205</v>
      </c>
      <c r="C1488" s="4">
        <v>23</v>
      </c>
      <c r="D1488" s="8">
        <v>4.1500000000000004</v>
      </c>
      <c r="E1488" s="4">
        <v>15</v>
      </c>
      <c r="F1488" s="8">
        <v>3.98</v>
      </c>
      <c r="G1488" s="4">
        <v>8</v>
      </c>
      <c r="H1488" s="8">
        <v>4.7300000000000004</v>
      </c>
      <c r="I1488" s="4">
        <v>0</v>
      </c>
    </row>
    <row r="1489" spans="1:9" x14ac:dyDescent="0.2">
      <c r="A1489" s="2">
        <v>3</v>
      </c>
      <c r="B1489" s="1" t="s">
        <v>168</v>
      </c>
      <c r="C1489" s="4">
        <v>20</v>
      </c>
      <c r="D1489" s="8">
        <v>3.61</v>
      </c>
      <c r="E1489" s="4">
        <v>19</v>
      </c>
      <c r="F1489" s="8">
        <v>5.04</v>
      </c>
      <c r="G1489" s="4">
        <v>1</v>
      </c>
      <c r="H1489" s="8">
        <v>0.59</v>
      </c>
      <c r="I1489" s="4">
        <v>0</v>
      </c>
    </row>
    <row r="1490" spans="1:9" x14ac:dyDescent="0.2">
      <c r="A1490" s="2">
        <v>3</v>
      </c>
      <c r="B1490" s="1" t="s">
        <v>170</v>
      </c>
      <c r="C1490" s="4">
        <v>20</v>
      </c>
      <c r="D1490" s="8">
        <v>3.61</v>
      </c>
      <c r="E1490" s="4">
        <v>16</v>
      </c>
      <c r="F1490" s="8">
        <v>4.24</v>
      </c>
      <c r="G1490" s="4">
        <v>4</v>
      </c>
      <c r="H1490" s="8">
        <v>2.37</v>
      </c>
      <c r="I1490" s="4">
        <v>0</v>
      </c>
    </row>
    <row r="1491" spans="1:9" x14ac:dyDescent="0.2">
      <c r="A1491" s="2">
        <v>5</v>
      </c>
      <c r="B1491" s="1" t="s">
        <v>156</v>
      </c>
      <c r="C1491" s="4">
        <v>17</v>
      </c>
      <c r="D1491" s="8">
        <v>3.07</v>
      </c>
      <c r="E1491" s="4">
        <v>11</v>
      </c>
      <c r="F1491" s="8">
        <v>2.92</v>
      </c>
      <c r="G1491" s="4">
        <v>6</v>
      </c>
      <c r="H1491" s="8">
        <v>3.55</v>
      </c>
      <c r="I1491" s="4">
        <v>0</v>
      </c>
    </row>
    <row r="1492" spans="1:9" x14ac:dyDescent="0.2">
      <c r="A1492" s="2">
        <v>6</v>
      </c>
      <c r="B1492" s="1" t="s">
        <v>154</v>
      </c>
      <c r="C1492" s="4">
        <v>16</v>
      </c>
      <c r="D1492" s="8">
        <v>2.89</v>
      </c>
      <c r="E1492" s="4">
        <v>10</v>
      </c>
      <c r="F1492" s="8">
        <v>2.65</v>
      </c>
      <c r="G1492" s="4">
        <v>6</v>
      </c>
      <c r="H1492" s="8">
        <v>3.55</v>
      </c>
      <c r="I1492" s="4">
        <v>0</v>
      </c>
    </row>
    <row r="1493" spans="1:9" x14ac:dyDescent="0.2">
      <c r="A1493" s="2">
        <v>6</v>
      </c>
      <c r="B1493" s="1" t="s">
        <v>167</v>
      </c>
      <c r="C1493" s="4">
        <v>16</v>
      </c>
      <c r="D1493" s="8">
        <v>2.89</v>
      </c>
      <c r="E1493" s="4">
        <v>16</v>
      </c>
      <c r="F1493" s="8">
        <v>4.24</v>
      </c>
      <c r="G1493" s="4">
        <v>0</v>
      </c>
      <c r="H1493" s="8">
        <v>0</v>
      </c>
      <c r="I1493" s="4">
        <v>0</v>
      </c>
    </row>
    <row r="1494" spans="1:9" x14ac:dyDescent="0.2">
      <c r="A1494" s="2">
        <v>8</v>
      </c>
      <c r="B1494" s="1" t="s">
        <v>171</v>
      </c>
      <c r="C1494" s="4">
        <v>15</v>
      </c>
      <c r="D1494" s="8">
        <v>2.71</v>
      </c>
      <c r="E1494" s="4">
        <v>15</v>
      </c>
      <c r="F1494" s="8">
        <v>3.98</v>
      </c>
      <c r="G1494" s="4">
        <v>0</v>
      </c>
      <c r="H1494" s="8">
        <v>0</v>
      </c>
      <c r="I1494" s="4">
        <v>0</v>
      </c>
    </row>
    <row r="1495" spans="1:9" x14ac:dyDescent="0.2">
      <c r="A1495" s="2">
        <v>9</v>
      </c>
      <c r="B1495" s="1" t="s">
        <v>165</v>
      </c>
      <c r="C1495" s="4">
        <v>12</v>
      </c>
      <c r="D1495" s="8">
        <v>2.17</v>
      </c>
      <c r="E1495" s="4">
        <v>11</v>
      </c>
      <c r="F1495" s="8">
        <v>2.92</v>
      </c>
      <c r="G1495" s="4">
        <v>1</v>
      </c>
      <c r="H1495" s="8">
        <v>0.59</v>
      </c>
      <c r="I1495" s="4">
        <v>0</v>
      </c>
    </row>
    <row r="1496" spans="1:9" x14ac:dyDescent="0.2">
      <c r="A1496" s="2">
        <v>10</v>
      </c>
      <c r="B1496" s="1" t="s">
        <v>162</v>
      </c>
      <c r="C1496" s="4">
        <v>11</v>
      </c>
      <c r="D1496" s="8">
        <v>1.99</v>
      </c>
      <c r="E1496" s="4">
        <v>5</v>
      </c>
      <c r="F1496" s="8">
        <v>1.33</v>
      </c>
      <c r="G1496" s="4">
        <v>6</v>
      </c>
      <c r="H1496" s="8">
        <v>3.55</v>
      </c>
      <c r="I1496" s="4">
        <v>0</v>
      </c>
    </row>
    <row r="1497" spans="1:9" x14ac:dyDescent="0.2">
      <c r="A1497" s="2">
        <v>11</v>
      </c>
      <c r="B1497" s="1" t="s">
        <v>158</v>
      </c>
      <c r="C1497" s="4">
        <v>10</v>
      </c>
      <c r="D1497" s="8">
        <v>1.81</v>
      </c>
      <c r="E1497" s="4">
        <v>5</v>
      </c>
      <c r="F1497" s="8">
        <v>1.33</v>
      </c>
      <c r="G1497" s="4">
        <v>5</v>
      </c>
      <c r="H1497" s="8">
        <v>2.96</v>
      </c>
      <c r="I1497" s="4">
        <v>0</v>
      </c>
    </row>
    <row r="1498" spans="1:9" x14ac:dyDescent="0.2">
      <c r="A1498" s="2">
        <v>11</v>
      </c>
      <c r="B1498" s="1" t="s">
        <v>163</v>
      </c>
      <c r="C1498" s="4">
        <v>10</v>
      </c>
      <c r="D1498" s="8">
        <v>1.81</v>
      </c>
      <c r="E1498" s="4">
        <v>9</v>
      </c>
      <c r="F1498" s="8">
        <v>2.39</v>
      </c>
      <c r="G1498" s="4">
        <v>1</v>
      </c>
      <c r="H1498" s="8">
        <v>0.59</v>
      </c>
      <c r="I1498" s="4">
        <v>0</v>
      </c>
    </row>
    <row r="1499" spans="1:9" x14ac:dyDescent="0.2">
      <c r="A1499" s="2">
        <v>11</v>
      </c>
      <c r="B1499" s="1" t="s">
        <v>166</v>
      </c>
      <c r="C1499" s="4">
        <v>10</v>
      </c>
      <c r="D1499" s="8">
        <v>1.81</v>
      </c>
      <c r="E1499" s="4">
        <v>10</v>
      </c>
      <c r="F1499" s="8">
        <v>2.65</v>
      </c>
      <c r="G1499" s="4">
        <v>0</v>
      </c>
      <c r="H1499" s="8">
        <v>0</v>
      </c>
      <c r="I1499" s="4">
        <v>0</v>
      </c>
    </row>
    <row r="1500" spans="1:9" x14ac:dyDescent="0.2">
      <c r="A1500" s="2">
        <v>11</v>
      </c>
      <c r="B1500" s="1" t="s">
        <v>169</v>
      </c>
      <c r="C1500" s="4">
        <v>10</v>
      </c>
      <c r="D1500" s="8">
        <v>1.81</v>
      </c>
      <c r="E1500" s="4">
        <v>7</v>
      </c>
      <c r="F1500" s="8">
        <v>1.86</v>
      </c>
      <c r="G1500" s="4">
        <v>3</v>
      </c>
      <c r="H1500" s="8">
        <v>1.78</v>
      </c>
      <c r="I1500" s="4">
        <v>0</v>
      </c>
    </row>
    <row r="1501" spans="1:9" x14ac:dyDescent="0.2">
      <c r="A1501" s="2">
        <v>15</v>
      </c>
      <c r="B1501" s="1" t="s">
        <v>217</v>
      </c>
      <c r="C1501" s="4">
        <v>9</v>
      </c>
      <c r="D1501" s="8">
        <v>1.62</v>
      </c>
      <c r="E1501" s="4">
        <v>8</v>
      </c>
      <c r="F1501" s="8">
        <v>2.12</v>
      </c>
      <c r="G1501" s="4">
        <v>1</v>
      </c>
      <c r="H1501" s="8">
        <v>0.59</v>
      </c>
      <c r="I1501" s="4">
        <v>0</v>
      </c>
    </row>
    <row r="1502" spans="1:9" x14ac:dyDescent="0.2">
      <c r="A1502" s="2">
        <v>15</v>
      </c>
      <c r="B1502" s="1" t="s">
        <v>210</v>
      </c>
      <c r="C1502" s="4">
        <v>9</v>
      </c>
      <c r="D1502" s="8">
        <v>1.62</v>
      </c>
      <c r="E1502" s="4">
        <v>9</v>
      </c>
      <c r="F1502" s="8">
        <v>2.39</v>
      </c>
      <c r="G1502" s="4">
        <v>0</v>
      </c>
      <c r="H1502" s="8">
        <v>0</v>
      </c>
      <c r="I1502" s="4">
        <v>0</v>
      </c>
    </row>
    <row r="1503" spans="1:9" x14ac:dyDescent="0.2">
      <c r="A1503" s="2">
        <v>17</v>
      </c>
      <c r="B1503" s="1" t="s">
        <v>153</v>
      </c>
      <c r="C1503" s="4">
        <v>8</v>
      </c>
      <c r="D1503" s="8">
        <v>1.44</v>
      </c>
      <c r="E1503" s="4">
        <v>2</v>
      </c>
      <c r="F1503" s="8">
        <v>0.53</v>
      </c>
      <c r="G1503" s="4">
        <v>6</v>
      </c>
      <c r="H1503" s="8">
        <v>3.55</v>
      </c>
      <c r="I1503" s="4">
        <v>0</v>
      </c>
    </row>
    <row r="1504" spans="1:9" x14ac:dyDescent="0.2">
      <c r="A1504" s="2">
        <v>17</v>
      </c>
      <c r="B1504" s="1" t="s">
        <v>159</v>
      </c>
      <c r="C1504" s="4">
        <v>8</v>
      </c>
      <c r="D1504" s="8">
        <v>1.44</v>
      </c>
      <c r="E1504" s="4">
        <v>5</v>
      </c>
      <c r="F1504" s="8">
        <v>1.33</v>
      </c>
      <c r="G1504" s="4">
        <v>3</v>
      </c>
      <c r="H1504" s="8">
        <v>1.78</v>
      </c>
      <c r="I1504" s="4">
        <v>0</v>
      </c>
    </row>
    <row r="1505" spans="1:9" x14ac:dyDescent="0.2">
      <c r="A1505" s="2">
        <v>17</v>
      </c>
      <c r="B1505" s="1" t="s">
        <v>249</v>
      </c>
      <c r="C1505" s="4">
        <v>8</v>
      </c>
      <c r="D1505" s="8">
        <v>1.44</v>
      </c>
      <c r="E1505" s="4">
        <v>4</v>
      </c>
      <c r="F1505" s="8">
        <v>1.06</v>
      </c>
      <c r="G1505" s="4">
        <v>4</v>
      </c>
      <c r="H1505" s="8">
        <v>2.37</v>
      </c>
      <c r="I1505" s="4">
        <v>0</v>
      </c>
    </row>
    <row r="1506" spans="1:9" x14ac:dyDescent="0.2">
      <c r="A1506" s="2">
        <v>20</v>
      </c>
      <c r="B1506" s="1" t="s">
        <v>155</v>
      </c>
      <c r="C1506" s="4">
        <v>7</v>
      </c>
      <c r="D1506" s="8">
        <v>1.26</v>
      </c>
      <c r="E1506" s="4">
        <v>2</v>
      </c>
      <c r="F1506" s="8">
        <v>0.53</v>
      </c>
      <c r="G1506" s="4">
        <v>5</v>
      </c>
      <c r="H1506" s="8">
        <v>2.96</v>
      </c>
      <c r="I1506" s="4">
        <v>0</v>
      </c>
    </row>
    <row r="1507" spans="1:9" x14ac:dyDescent="0.2">
      <c r="A1507" s="2">
        <v>20</v>
      </c>
      <c r="B1507" s="1" t="s">
        <v>196</v>
      </c>
      <c r="C1507" s="4">
        <v>7</v>
      </c>
      <c r="D1507" s="8">
        <v>1.26</v>
      </c>
      <c r="E1507" s="4">
        <v>2</v>
      </c>
      <c r="F1507" s="8">
        <v>0.53</v>
      </c>
      <c r="G1507" s="4">
        <v>5</v>
      </c>
      <c r="H1507" s="8">
        <v>2.96</v>
      </c>
      <c r="I1507" s="4">
        <v>0</v>
      </c>
    </row>
    <row r="1508" spans="1:9" x14ac:dyDescent="0.2">
      <c r="A1508" s="2">
        <v>20</v>
      </c>
      <c r="B1508" s="1" t="s">
        <v>188</v>
      </c>
      <c r="C1508" s="4">
        <v>7</v>
      </c>
      <c r="D1508" s="8">
        <v>1.26</v>
      </c>
      <c r="E1508" s="4">
        <v>5</v>
      </c>
      <c r="F1508" s="8">
        <v>1.33</v>
      </c>
      <c r="G1508" s="4">
        <v>2</v>
      </c>
      <c r="H1508" s="8">
        <v>1.18</v>
      </c>
      <c r="I1508" s="4">
        <v>0</v>
      </c>
    </row>
    <row r="1509" spans="1:9" x14ac:dyDescent="0.2">
      <c r="A1509" s="1"/>
      <c r="C1509" s="4"/>
      <c r="D1509" s="8"/>
      <c r="E1509" s="4"/>
      <c r="F1509" s="8"/>
      <c r="G1509" s="4"/>
      <c r="H1509" s="8"/>
      <c r="I1509" s="4"/>
    </row>
    <row r="1510" spans="1:9" x14ac:dyDescent="0.2">
      <c r="A1510" s="1" t="s">
        <v>66</v>
      </c>
      <c r="C1510" s="4"/>
      <c r="D1510" s="8"/>
      <c r="E1510" s="4"/>
      <c r="F1510" s="8"/>
      <c r="G1510" s="4"/>
      <c r="H1510" s="8"/>
      <c r="I1510" s="4"/>
    </row>
    <row r="1511" spans="1:9" x14ac:dyDescent="0.2">
      <c r="A1511" s="2">
        <v>1</v>
      </c>
      <c r="B1511" s="1" t="s">
        <v>168</v>
      </c>
      <c r="C1511" s="4">
        <v>44</v>
      </c>
      <c r="D1511" s="8">
        <v>6.6</v>
      </c>
      <c r="E1511" s="4">
        <v>38</v>
      </c>
      <c r="F1511" s="8">
        <v>10.24</v>
      </c>
      <c r="G1511" s="4">
        <v>6</v>
      </c>
      <c r="H1511" s="8">
        <v>2.06</v>
      </c>
      <c r="I1511" s="4">
        <v>0</v>
      </c>
    </row>
    <row r="1512" spans="1:9" x14ac:dyDescent="0.2">
      <c r="A1512" s="2">
        <v>2</v>
      </c>
      <c r="B1512" s="1" t="s">
        <v>164</v>
      </c>
      <c r="C1512" s="4">
        <v>24</v>
      </c>
      <c r="D1512" s="8">
        <v>3.6</v>
      </c>
      <c r="E1512" s="4">
        <v>23</v>
      </c>
      <c r="F1512" s="8">
        <v>6.2</v>
      </c>
      <c r="G1512" s="4">
        <v>1</v>
      </c>
      <c r="H1512" s="8">
        <v>0.34</v>
      </c>
      <c r="I1512" s="4">
        <v>0</v>
      </c>
    </row>
    <row r="1513" spans="1:9" x14ac:dyDescent="0.2">
      <c r="A1513" s="2">
        <v>2</v>
      </c>
      <c r="B1513" s="1" t="s">
        <v>170</v>
      </c>
      <c r="C1513" s="4">
        <v>24</v>
      </c>
      <c r="D1513" s="8">
        <v>3.6</v>
      </c>
      <c r="E1513" s="4">
        <v>20</v>
      </c>
      <c r="F1513" s="8">
        <v>5.39</v>
      </c>
      <c r="G1513" s="4">
        <v>4</v>
      </c>
      <c r="H1513" s="8">
        <v>1.37</v>
      </c>
      <c r="I1513" s="4">
        <v>0</v>
      </c>
    </row>
    <row r="1514" spans="1:9" x14ac:dyDescent="0.2">
      <c r="A1514" s="2">
        <v>4</v>
      </c>
      <c r="B1514" s="1" t="s">
        <v>161</v>
      </c>
      <c r="C1514" s="4">
        <v>22</v>
      </c>
      <c r="D1514" s="8">
        <v>3.3</v>
      </c>
      <c r="E1514" s="4">
        <v>10</v>
      </c>
      <c r="F1514" s="8">
        <v>2.7</v>
      </c>
      <c r="G1514" s="4">
        <v>12</v>
      </c>
      <c r="H1514" s="8">
        <v>4.12</v>
      </c>
      <c r="I1514" s="4">
        <v>0</v>
      </c>
    </row>
    <row r="1515" spans="1:9" x14ac:dyDescent="0.2">
      <c r="A1515" s="2">
        <v>5</v>
      </c>
      <c r="B1515" s="1" t="s">
        <v>165</v>
      </c>
      <c r="C1515" s="4">
        <v>21</v>
      </c>
      <c r="D1515" s="8">
        <v>3.15</v>
      </c>
      <c r="E1515" s="4">
        <v>20</v>
      </c>
      <c r="F1515" s="8">
        <v>5.39</v>
      </c>
      <c r="G1515" s="4">
        <v>1</v>
      </c>
      <c r="H1515" s="8">
        <v>0.34</v>
      </c>
      <c r="I1515" s="4">
        <v>0</v>
      </c>
    </row>
    <row r="1516" spans="1:9" x14ac:dyDescent="0.2">
      <c r="A1516" s="2">
        <v>6</v>
      </c>
      <c r="B1516" s="1" t="s">
        <v>167</v>
      </c>
      <c r="C1516" s="4">
        <v>20</v>
      </c>
      <c r="D1516" s="8">
        <v>3</v>
      </c>
      <c r="E1516" s="4">
        <v>19</v>
      </c>
      <c r="F1516" s="8">
        <v>5.12</v>
      </c>
      <c r="G1516" s="4">
        <v>1</v>
      </c>
      <c r="H1516" s="8">
        <v>0.34</v>
      </c>
      <c r="I1516" s="4">
        <v>0</v>
      </c>
    </row>
    <row r="1517" spans="1:9" x14ac:dyDescent="0.2">
      <c r="A1517" s="2">
        <v>6</v>
      </c>
      <c r="B1517" s="1" t="s">
        <v>171</v>
      </c>
      <c r="C1517" s="4">
        <v>20</v>
      </c>
      <c r="D1517" s="8">
        <v>3</v>
      </c>
      <c r="E1517" s="4">
        <v>19</v>
      </c>
      <c r="F1517" s="8">
        <v>5.12</v>
      </c>
      <c r="G1517" s="4">
        <v>1</v>
      </c>
      <c r="H1517" s="8">
        <v>0.34</v>
      </c>
      <c r="I1517" s="4">
        <v>0</v>
      </c>
    </row>
    <row r="1518" spans="1:9" x14ac:dyDescent="0.2">
      <c r="A1518" s="2">
        <v>8</v>
      </c>
      <c r="B1518" s="1" t="s">
        <v>156</v>
      </c>
      <c r="C1518" s="4">
        <v>19</v>
      </c>
      <c r="D1518" s="8">
        <v>2.85</v>
      </c>
      <c r="E1518" s="4">
        <v>14</v>
      </c>
      <c r="F1518" s="8">
        <v>3.77</v>
      </c>
      <c r="G1518" s="4">
        <v>5</v>
      </c>
      <c r="H1518" s="8">
        <v>1.72</v>
      </c>
      <c r="I1518" s="4">
        <v>0</v>
      </c>
    </row>
    <row r="1519" spans="1:9" x14ac:dyDescent="0.2">
      <c r="A1519" s="2">
        <v>9</v>
      </c>
      <c r="B1519" s="1" t="s">
        <v>152</v>
      </c>
      <c r="C1519" s="4">
        <v>17</v>
      </c>
      <c r="D1519" s="8">
        <v>2.5499999999999998</v>
      </c>
      <c r="E1519" s="4">
        <v>4</v>
      </c>
      <c r="F1519" s="8">
        <v>1.08</v>
      </c>
      <c r="G1519" s="4">
        <v>13</v>
      </c>
      <c r="H1519" s="8">
        <v>4.47</v>
      </c>
      <c r="I1519" s="4">
        <v>0</v>
      </c>
    </row>
    <row r="1520" spans="1:9" x14ac:dyDescent="0.2">
      <c r="A1520" s="2">
        <v>10</v>
      </c>
      <c r="B1520" s="1" t="s">
        <v>153</v>
      </c>
      <c r="C1520" s="4">
        <v>16</v>
      </c>
      <c r="D1520" s="8">
        <v>2.4</v>
      </c>
      <c r="E1520" s="4">
        <v>1</v>
      </c>
      <c r="F1520" s="8">
        <v>0.27</v>
      </c>
      <c r="G1520" s="4">
        <v>15</v>
      </c>
      <c r="H1520" s="8">
        <v>5.15</v>
      </c>
      <c r="I1520" s="4">
        <v>0</v>
      </c>
    </row>
    <row r="1521" spans="1:9" x14ac:dyDescent="0.2">
      <c r="A1521" s="2">
        <v>10</v>
      </c>
      <c r="B1521" s="1" t="s">
        <v>205</v>
      </c>
      <c r="C1521" s="4">
        <v>16</v>
      </c>
      <c r="D1521" s="8">
        <v>2.4</v>
      </c>
      <c r="E1521" s="4">
        <v>9</v>
      </c>
      <c r="F1521" s="8">
        <v>2.4300000000000002</v>
      </c>
      <c r="G1521" s="4">
        <v>7</v>
      </c>
      <c r="H1521" s="8">
        <v>2.41</v>
      </c>
      <c r="I1521" s="4">
        <v>0</v>
      </c>
    </row>
    <row r="1522" spans="1:9" x14ac:dyDescent="0.2">
      <c r="A1522" s="2">
        <v>10</v>
      </c>
      <c r="B1522" s="1" t="s">
        <v>163</v>
      </c>
      <c r="C1522" s="4">
        <v>16</v>
      </c>
      <c r="D1522" s="8">
        <v>2.4</v>
      </c>
      <c r="E1522" s="4">
        <v>14</v>
      </c>
      <c r="F1522" s="8">
        <v>3.77</v>
      </c>
      <c r="G1522" s="4">
        <v>2</v>
      </c>
      <c r="H1522" s="8">
        <v>0.69</v>
      </c>
      <c r="I1522" s="4">
        <v>0</v>
      </c>
    </row>
    <row r="1523" spans="1:9" x14ac:dyDescent="0.2">
      <c r="A1523" s="2">
        <v>13</v>
      </c>
      <c r="B1523" s="1" t="s">
        <v>158</v>
      </c>
      <c r="C1523" s="4">
        <v>15</v>
      </c>
      <c r="D1523" s="8">
        <v>2.25</v>
      </c>
      <c r="E1523" s="4">
        <v>9</v>
      </c>
      <c r="F1523" s="8">
        <v>2.4300000000000002</v>
      </c>
      <c r="G1523" s="4">
        <v>6</v>
      </c>
      <c r="H1523" s="8">
        <v>2.06</v>
      </c>
      <c r="I1523" s="4">
        <v>0</v>
      </c>
    </row>
    <row r="1524" spans="1:9" x14ac:dyDescent="0.2">
      <c r="A1524" s="2">
        <v>14</v>
      </c>
      <c r="B1524" s="1" t="s">
        <v>198</v>
      </c>
      <c r="C1524" s="4">
        <v>13</v>
      </c>
      <c r="D1524" s="8">
        <v>1.95</v>
      </c>
      <c r="E1524" s="4">
        <v>8</v>
      </c>
      <c r="F1524" s="8">
        <v>2.16</v>
      </c>
      <c r="G1524" s="4">
        <v>5</v>
      </c>
      <c r="H1524" s="8">
        <v>1.72</v>
      </c>
      <c r="I1524" s="4">
        <v>0</v>
      </c>
    </row>
    <row r="1525" spans="1:9" x14ac:dyDescent="0.2">
      <c r="A1525" s="2">
        <v>14</v>
      </c>
      <c r="B1525" s="1" t="s">
        <v>169</v>
      </c>
      <c r="C1525" s="4">
        <v>13</v>
      </c>
      <c r="D1525" s="8">
        <v>1.95</v>
      </c>
      <c r="E1525" s="4">
        <v>10</v>
      </c>
      <c r="F1525" s="8">
        <v>2.7</v>
      </c>
      <c r="G1525" s="4">
        <v>3</v>
      </c>
      <c r="H1525" s="8">
        <v>1.03</v>
      </c>
      <c r="I1525" s="4">
        <v>0</v>
      </c>
    </row>
    <row r="1526" spans="1:9" x14ac:dyDescent="0.2">
      <c r="A1526" s="2">
        <v>14</v>
      </c>
      <c r="B1526" s="1" t="s">
        <v>188</v>
      </c>
      <c r="C1526" s="4">
        <v>13</v>
      </c>
      <c r="D1526" s="8">
        <v>1.95</v>
      </c>
      <c r="E1526" s="4">
        <v>11</v>
      </c>
      <c r="F1526" s="8">
        <v>2.96</v>
      </c>
      <c r="G1526" s="4">
        <v>2</v>
      </c>
      <c r="H1526" s="8">
        <v>0.69</v>
      </c>
      <c r="I1526" s="4">
        <v>0</v>
      </c>
    </row>
    <row r="1527" spans="1:9" x14ac:dyDescent="0.2">
      <c r="A1527" s="2">
        <v>17</v>
      </c>
      <c r="B1527" s="1" t="s">
        <v>155</v>
      </c>
      <c r="C1527" s="4">
        <v>12</v>
      </c>
      <c r="D1527" s="8">
        <v>1.8</v>
      </c>
      <c r="E1527" s="4">
        <v>4</v>
      </c>
      <c r="F1527" s="8">
        <v>1.08</v>
      </c>
      <c r="G1527" s="4">
        <v>8</v>
      </c>
      <c r="H1527" s="8">
        <v>2.75</v>
      </c>
      <c r="I1527" s="4">
        <v>0</v>
      </c>
    </row>
    <row r="1528" spans="1:9" x14ac:dyDescent="0.2">
      <c r="A1528" s="2">
        <v>18</v>
      </c>
      <c r="B1528" s="1" t="s">
        <v>196</v>
      </c>
      <c r="C1528" s="4">
        <v>11</v>
      </c>
      <c r="D1528" s="8">
        <v>1.65</v>
      </c>
      <c r="E1528" s="4">
        <v>2</v>
      </c>
      <c r="F1528" s="8">
        <v>0.54</v>
      </c>
      <c r="G1528" s="4">
        <v>9</v>
      </c>
      <c r="H1528" s="8">
        <v>3.09</v>
      </c>
      <c r="I1528" s="4">
        <v>0</v>
      </c>
    </row>
    <row r="1529" spans="1:9" x14ac:dyDescent="0.2">
      <c r="A1529" s="2">
        <v>18</v>
      </c>
      <c r="B1529" s="1" t="s">
        <v>166</v>
      </c>
      <c r="C1529" s="4">
        <v>11</v>
      </c>
      <c r="D1529" s="8">
        <v>1.65</v>
      </c>
      <c r="E1529" s="4">
        <v>7</v>
      </c>
      <c r="F1529" s="8">
        <v>1.89</v>
      </c>
      <c r="G1529" s="4">
        <v>4</v>
      </c>
      <c r="H1529" s="8">
        <v>1.37</v>
      </c>
      <c r="I1529" s="4">
        <v>0</v>
      </c>
    </row>
    <row r="1530" spans="1:9" x14ac:dyDescent="0.2">
      <c r="A1530" s="2">
        <v>20</v>
      </c>
      <c r="B1530" s="1" t="s">
        <v>159</v>
      </c>
      <c r="C1530" s="4">
        <v>8</v>
      </c>
      <c r="D1530" s="8">
        <v>1.2</v>
      </c>
      <c r="E1530" s="4">
        <v>4</v>
      </c>
      <c r="F1530" s="8">
        <v>1.08</v>
      </c>
      <c r="G1530" s="4">
        <v>4</v>
      </c>
      <c r="H1530" s="8">
        <v>1.37</v>
      </c>
      <c r="I1530" s="4">
        <v>0</v>
      </c>
    </row>
    <row r="1531" spans="1:9" x14ac:dyDescent="0.2">
      <c r="A1531" s="2">
        <v>20</v>
      </c>
      <c r="B1531" s="1" t="s">
        <v>174</v>
      </c>
      <c r="C1531" s="4">
        <v>8</v>
      </c>
      <c r="D1531" s="8">
        <v>1.2</v>
      </c>
      <c r="E1531" s="4">
        <v>0</v>
      </c>
      <c r="F1531" s="8">
        <v>0</v>
      </c>
      <c r="G1531" s="4">
        <v>8</v>
      </c>
      <c r="H1531" s="8">
        <v>2.75</v>
      </c>
      <c r="I1531" s="4">
        <v>0</v>
      </c>
    </row>
    <row r="1532" spans="1:9" x14ac:dyDescent="0.2">
      <c r="A1532" s="2">
        <v>20</v>
      </c>
      <c r="B1532" s="1" t="s">
        <v>162</v>
      </c>
      <c r="C1532" s="4">
        <v>8</v>
      </c>
      <c r="D1532" s="8">
        <v>1.2</v>
      </c>
      <c r="E1532" s="4">
        <v>6</v>
      </c>
      <c r="F1532" s="8">
        <v>1.62</v>
      </c>
      <c r="G1532" s="4">
        <v>2</v>
      </c>
      <c r="H1532" s="8">
        <v>0.69</v>
      </c>
      <c r="I1532" s="4">
        <v>0</v>
      </c>
    </row>
    <row r="1533" spans="1:9" x14ac:dyDescent="0.2">
      <c r="A1533" s="1"/>
      <c r="C1533" s="4"/>
      <c r="D1533" s="8"/>
      <c r="E1533" s="4"/>
      <c r="F1533" s="8"/>
      <c r="G1533" s="4"/>
      <c r="H1533" s="8"/>
      <c r="I1533" s="4"/>
    </row>
    <row r="1534" spans="1:9" x14ac:dyDescent="0.2">
      <c r="A1534" s="1" t="s">
        <v>67</v>
      </c>
      <c r="C1534" s="4"/>
      <c r="D1534" s="8"/>
      <c r="E1534" s="4"/>
      <c r="F1534" s="8"/>
      <c r="G1534" s="4"/>
      <c r="H1534" s="8"/>
      <c r="I1534" s="4"/>
    </row>
    <row r="1535" spans="1:9" x14ac:dyDescent="0.2">
      <c r="A1535" s="2">
        <v>1</v>
      </c>
      <c r="B1535" s="1" t="s">
        <v>168</v>
      </c>
      <c r="C1535" s="4">
        <v>34</v>
      </c>
      <c r="D1535" s="8">
        <v>5</v>
      </c>
      <c r="E1535" s="4">
        <v>31</v>
      </c>
      <c r="F1535" s="8">
        <v>8.1199999999999992</v>
      </c>
      <c r="G1535" s="4">
        <v>3</v>
      </c>
      <c r="H1535" s="8">
        <v>1.04</v>
      </c>
      <c r="I1535" s="4">
        <v>0</v>
      </c>
    </row>
    <row r="1536" spans="1:9" x14ac:dyDescent="0.2">
      <c r="A1536" s="2">
        <v>2</v>
      </c>
      <c r="B1536" s="1" t="s">
        <v>170</v>
      </c>
      <c r="C1536" s="4">
        <v>26</v>
      </c>
      <c r="D1536" s="8">
        <v>3.82</v>
      </c>
      <c r="E1536" s="4">
        <v>21</v>
      </c>
      <c r="F1536" s="8">
        <v>5.5</v>
      </c>
      <c r="G1536" s="4">
        <v>4</v>
      </c>
      <c r="H1536" s="8">
        <v>1.38</v>
      </c>
      <c r="I1536" s="4">
        <v>1</v>
      </c>
    </row>
    <row r="1537" spans="1:9" x14ac:dyDescent="0.2">
      <c r="A1537" s="2">
        <v>3</v>
      </c>
      <c r="B1537" s="1" t="s">
        <v>161</v>
      </c>
      <c r="C1537" s="4">
        <v>24</v>
      </c>
      <c r="D1537" s="8">
        <v>3.53</v>
      </c>
      <c r="E1537" s="4">
        <v>15</v>
      </c>
      <c r="F1537" s="8">
        <v>3.93</v>
      </c>
      <c r="G1537" s="4">
        <v>9</v>
      </c>
      <c r="H1537" s="8">
        <v>3.11</v>
      </c>
      <c r="I1537" s="4">
        <v>0</v>
      </c>
    </row>
    <row r="1538" spans="1:9" x14ac:dyDescent="0.2">
      <c r="A1538" s="2">
        <v>3</v>
      </c>
      <c r="B1538" s="1" t="s">
        <v>167</v>
      </c>
      <c r="C1538" s="4">
        <v>24</v>
      </c>
      <c r="D1538" s="8">
        <v>3.53</v>
      </c>
      <c r="E1538" s="4">
        <v>23</v>
      </c>
      <c r="F1538" s="8">
        <v>6.02</v>
      </c>
      <c r="G1538" s="4">
        <v>1</v>
      </c>
      <c r="H1538" s="8">
        <v>0.35</v>
      </c>
      <c r="I1538" s="4">
        <v>0</v>
      </c>
    </row>
    <row r="1539" spans="1:9" x14ac:dyDescent="0.2">
      <c r="A1539" s="2">
        <v>5</v>
      </c>
      <c r="B1539" s="1" t="s">
        <v>156</v>
      </c>
      <c r="C1539" s="4">
        <v>22</v>
      </c>
      <c r="D1539" s="8">
        <v>3.24</v>
      </c>
      <c r="E1539" s="4">
        <v>17</v>
      </c>
      <c r="F1539" s="8">
        <v>4.45</v>
      </c>
      <c r="G1539" s="4">
        <v>5</v>
      </c>
      <c r="H1539" s="8">
        <v>1.73</v>
      </c>
      <c r="I1539" s="4">
        <v>0</v>
      </c>
    </row>
    <row r="1540" spans="1:9" x14ac:dyDescent="0.2">
      <c r="A1540" s="2">
        <v>6</v>
      </c>
      <c r="B1540" s="1" t="s">
        <v>165</v>
      </c>
      <c r="C1540" s="4">
        <v>19</v>
      </c>
      <c r="D1540" s="8">
        <v>2.79</v>
      </c>
      <c r="E1540" s="4">
        <v>19</v>
      </c>
      <c r="F1540" s="8">
        <v>4.97</v>
      </c>
      <c r="G1540" s="4">
        <v>0</v>
      </c>
      <c r="H1540" s="8">
        <v>0</v>
      </c>
      <c r="I1540" s="4">
        <v>0</v>
      </c>
    </row>
    <row r="1541" spans="1:9" x14ac:dyDescent="0.2">
      <c r="A1541" s="2">
        <v>7</v>
      </c>
      <c r="B1541" s="1" t="s">
        <v>163</v>
      </c>
      <c r="C1541" s="4">
        <v>14</v>
      </c>
      <c r="D1541" s="8">
        <v>2.06</v>
      </c>
      <c r="E1541" s="4">
        <v>11</v>
      </c>
      <c r="F1541" s="8">
        <v>2.88</v>
      </c>
      <c r="G1541" s="4">
        <v>3</v>
      </c>
      <c r="H1541" s="8">
        <v>1.04</v>
      </c>
      <c r="I1541" s="4">
        <v>0</v>
      </c>
    </row>
    <row r="1542" spans="1:9" x14ac:dyDescent="0.2">
      <c r="A1542" s="2">
        <v>8</v>
      </c>
      <c r="B1542" s="1" t="s">
        <v>153</v>
      </c>
      <c r="C1542" s="4">
        <v>13</v>
      </c>
      <c r="D1542" s="8">
        <v>1.91</v>
      </c>
      <c r="E1542" s="4">
        <v>3</v>
      </c>
      <c r="F1542" s="8">
        <v>0.79</v>
      </c>
      <c r="G1542" s="4">
        <v>10</v>
      </c>
      <c r="H1542" s="8">
        <v>3.46</v>
      </c>
      <c r="I1542" s="4">
        <v>0</v>
      </c>
    </row>
    <row r="1543" spans="1:9" x14ac:dyDescent="0.2">
      <c r="A1543" s="2">
        <v>8</v>
      </c>
      <c r="B1543" s="1" t="s">
        <v>154</v>
      </c>
      <c r="C1543" s="4">
        <v>13</v>
      </c>
      <c r="D1543" s="8">
        <v>1.91</v>
      </c>
      <c r="E1543" s="4">
        <v>5</v>
      </c>
      <c r="F1543" s="8">
        <v>1.31</v>
      </c>
      <c r="G1543" s="4">
        <v>8</v>
      </c>
      <c r="H1543" s="8">
        <v>2.77</v>
      </c>
      <c r="I1543" s="4">
        <v>0</v>
      </c>
    </row>
    <row r="1544" spans="1:9" x14ac:dyDescent="0.2">
      <c r="A1544" s="2">
        <v>8</v>
      </c>
      <c r="B1544" s="1" t="s">
        <v>155</v>
      </c>
      <c r="C1544" s="4">
        <v>13</v>
      </c>
      <c r="D1544" s="8">
        <v>1.91</v>
      </c>
      <c r="E1544" s="4">
        <v>3</v>
      </c>
      <c r="F1544" s="8">
        <v>0.79</v>
      </c>
      <c r="G1544" s="4">
        <v>10</v>
      </c>
      <c r="H1544" s="8">
        <v>3.46</v>
      </c>
      <c r="I1544" s="4">
        <v>0</v>
      </c>
    </row>
    <row r="1545" spans="1:9" x14ac:dyDescent="0.2">
      <c r="A1545" s="2">
        <v>8</v>
      </c>
      <c r="B1545" s="1" t="s">
        <v>171</v>
      </c>
      <c r="C1545" s="4">
        <v>13</v>
      </c>
      <c r="D1545" s="8">
        <v>1.91</v>
      </c>
      <c r="E1545" s="4">
        <v>11</v>
      </c>
      <c r="F1545" s="8">
        <v>2.88</v>
      </c>
      <c r="G1545" s="4">
        <v>2</v>
      </c>
      <c r="H1545" s="8">
        <v>0.69</v>
      </c>
      <c r="I1545" s="4">
        <v>0</v>
      </c>
    </row>
    <row r="1546" spans="1:9" x14ac:dyDescent="0.2">
      <c r="A1546" s="2">
        <v>12</v>
      </c>
      <c r="B1546" s="1" t="s">
        <v>152</v>
      </c>
      <c r="C1546" s="4">
        <v>12</v>
      </c>
      <c r="D1546" s="8">
        <v>1.76</v>
      </c>
      <c r="E1546" s="4">
        <v>4</v>
      </c>
      <c r="F1546" s="8">
        <v>1.05</v>
      </c>
      <c r="G1546" s="4">
        <v>8</v>
      </c>
      <c r="H1546" s="8">
        <v>2.77</v>
      </c>
      <c r="I1546" s="4">
        <v>0</v>
      </c>
    </row>
    <row r="1547" spans="1:9" x14ac:dyDescent="0.2">
      <c r="A1547" s="2">
        <v>12</v>
      </c>
      <c r="B1547" s="1" t="s">
        <v>158</v>
      </c>
      <c r="C1547" s="4">
        <v>12</v>
      </c>
      <c r="D1547" s="8">
        <v>1.76</v>
      </c>
      <c r="E1547" s="4">
        <v>8</v>
      </c>
      <c r="F1547" s="8">
        <v>2.09</v>
      </c>
      <c r="G1547" s="4">
        <v>4</v>
      </c>
      <c r="H1547" s="8">
        <v>1.38</v>
      </c>
      <c r="I1547" s="4">
        <v>0</v>
      </c>
    </row>
    <row r="1548" spans="1:9" x14ac:dyDescent="0.2">
      <c r="A1548" s="2">
        <v>14</v>
      </c>
      <c r="B1548" s="1" t="s">
        <v>199</v>
      </c>
      <c r="C1548" s="4">
        <v>11</v>
      </c>
      <c r="D1548" s="8">
        <v>1.62</v>
      </c>
      <c r="E1548" s="4">
        <v>1</v>
      </c>
      <c r="F1548" s="8">
        <v>0.26</v>
      </c>
      <c r="G1548" s="4">
        <v>10</v>
      </c>
      <c r="H1548" s="8">
        <v>3.46</v>
      </c>
      <c r="I1548" s="4">
        <v>0</v>
      </c>
    </row>
    <row r="1549" spans="1:9" x14ac:dyDescent="0.2">
      <c r="A1549" s="2">
        <v>14</v>
      </c>
      <c r="B1549" s="1" t="s">
        <v>251</v>
      </c>
      <c r="C1549" s="4">
        <v>11</v>
      </c>
      <c r="D1549" s="8">
        <v>1.62</v>
      </c>
      <c r="E1549" s="4">
        <v>5</v>
      </c>
      <c r="F1549" s="8">
        <v>1.31</v>
      </c>
      <c r="G1549" s="4">
        <v>6</v>
      </c>
      <c r="H1549" s="8">
        <v>2.08</v>
      </c>
      <c r="I1549" s="4">
        <v>0</v>
      </c>
    </row>
    <row r="1550" spans="1:9" x14ac:dyDescent="0.2">
      <c r="A1550" s="2">
        <v>16</v>
      </c>
      <c r="B1550" s="1" t="s">
        <v>164</v>
      </c>
      <c r="C1550" s="4">
        <v>10</v>
      </c>
      <c r="D1550" s="8">
        <v>1.47</v>
      </c>
      <c r="E1550" s="4">
        <v>8</v>
      </c>
      <c r="F1550" s="8">
        <v>2.09</v>
      </c>
      <c r="G1550" s="4">
        <v>2</v>
      </c>
      <c r="H1550" s="8">
        <v>0.69</v>
      </c>
      <c r="I1550" s="4">
        <v>0</v>
      </c>
    </row>
    <row r="1551" spans="1:9" x14ac:dyDescent="0.2">
      <c r="A1551" s="2">
        <v>17</v>
      </c>
      <c r="B1551" s="1" t="s">
        <v>186</v>
      </c>
      <c r="C1551" s="4">
        <v>9</v>
      </c>
      <c r="D1551" s="8">
        <v>1.32</v>
      </c>
      <c r="E1551" s="4">
        <v>8</v>
      </c>
      <c r="F1551" s="8">
        <v>2.09</v>
      </c>
      <c r="G1551" s="4">
        <v>1</v>
      </c>
      <c r="H1551" s="8">
        <v>0.35</v>
      </c>
      <c r="I1551" s="4">
        <v>0</v>
      </c>
    </row>
    <row r="1552" spans="1:9" x14ac:dyDescent="0.2">
      <c r="A1552" s="2">
        <v>17</v>
      </c>
      <c r="B1552" s="1" t="s">
        <v>166</v>
      </c>
      <c r="C1552" s="4">
        <v>9</v>
      </c>
      <c r="D1552" s="8">
        <v>1.32</v>
      </c>
      <c r="E1552" s="4">
        <v>4</v>
      </c>
      <c r="F1552" s="8">
        <v>1.05</v>
      </c>
      <c r="G1552" s="4">
        <v>5</v>
      </c>
      <c r="H1552" s="8">
        <v>1.73</v>
      </c>
      <c r="I1552" s="4">
        <v>0</v>
      </c>
    </row>
    <row r="1553" spans="1:9" x14ac:dyDescent="0.2">
      <c r="A1553" s="2">
        <v>17</v>
      </c>
      <c r="B1553" s="1" t="s">
        <v>188</v>
      </c>
      <c r="C1553" s="4">
        <v>9</v>
      </c>
      <c r="D1553" s="8">
        <v>1.32</v>
      </c>
      <c r="E1553" s="4">
        <v>7</v>
      </c>
      <c r="F1553" s="8">
        <v>1.83</v>
      </c>
      <c r="G1553" s="4">
        <v>2</v>
      </c>
      <c r="H1553" s="8">
        <v>0.69</v>
      </c>
      <c r="I1553" s="4">
        <v>0</v>
      </c>
    </row>
    <row r="1554" spans="1:9" x14ac:dyDescent="0.2">
      <c r="A1554" s="2">
        <v>20</v>
      </c>
      <c r="B1554" s="1" t="s">
        <v>205</v>
      </c>
      <c r="C1554" s="4">
        <v>8</v>
      </c>
      <c r="D1554" s="8">
        <v>1.18</v>
      </c>
      <c r="E1554" s="4">
        <v>2</v>
      </c>
      <c r="F1554" s="8">
        <v>0.52</v>
      </c>
      <c r="G1554" s="4">
        <v>6</v>
      </c>
      <c r="H1554" s="8">
        <v>2.08</v>
      </c>
      <c r="I1554" s="4">
        <v>0</v>
      </c>
    </row>
    <row r="1555" spans="1:9" x14ac:dyDescent="0.2">
      <c r="A1555" s="2">
        <v>20</v>
      </c>
      <c r="B1555" s="1" t="s">
        <v>200</v>
      </c>
      <c r="C1555" s="4">
        <v>8</v>
      </c>
      <c r="D1555" s="8">
        <v>1.18</v>
      </c>
      <c r="E1555" s="4">
        <v>1</v>
      </c>
      <c r="F1555" s="8">
        <v>0.26</v>
      </c>
      <c r="G1555" s="4">
        <v>7</v>
      </c>
      <c r="H1555" s="8">
        <v>2.42</v>
      </c>
      <c r="I1555" s="4">
        <v>0</v>
      </c>
    </row>
    <row r="1556" spans="1:9" x14ac:dyDescent="0.2">
      <c r="A1556" s="2">
        <v>20</v>
      </c>
      <c r="B1556" s="1" t="s">
        <v>197</v>
      </c>
      <c r="C1556" s="4">
        <v>8</v>
      </c>
      <c r="D1556" s="8">
        <v>1.18</v>
      </c>
      <c r="E1556" s="4">
        <v>3</v>
      </c>
      <c r="F1556" s="8">
        <v>0.79</v>
      </c>
      <c r="G1556" s="4">
        <v>5</v>
      </c>
      <c r="H1556" s="8">
        <v>1.73</v>
      </c>
      <c r="I1556" s="4">
        <v>0</v>
      </c>
    </row>
    <row r="1557" spans="1:9" x14ac:dyDescent="0.2">
      <c r="A1557" s="2">
        <v>20</v>
      </c>
      <c r="B1557" s="1" t="s">
        <v>218</v>
      </c>
      <c r="C1557" s="4">
        <v>8</v>
      </c>
      <c r="D1557" s="8">
        <v>1.18</v>
      </c>
      <c r="E1557" s="4">
        <v>2</v>
      </c>
      <c r="F1557" s="8">
        <v>0.52</v>
      </c>
      <c r="G1557" s="4">
        <v>6</v>
      </c>
      <c r="H1557" s="8">
        <v>2.08</v>
      </c>
      <c r="I1557" s="4">
        <v>0</v>
      </c>
    </row>
    <row r="1558" spans="1:9" x14ac:dyDescent="0.2">
      <c r="A1558" s="2">
        <v>20</v>
      </c>
      <c r="B1558" s="1" t="s">
        <v>169</v>
      </c>
      <c r="C1558" s="4">
        <v>8</v>
      </c>
      <c r="D1558" s="8">
        <v>1.18</v>
      </c>
      <c r="E1558" s="4">
        <v>6</v>
      </c>
      <c r="F1558" s="8">
        <v>1.57</v>
      </c>
      <c r="G1558" s="4">
        <v>2</v>
      </c>
      <c r="H1558" s="8">
        <v>0.69</v>
      </c>
      <c r="I1558" s="4">
        <v>0</v>
      </c>
    </row>
    <row r="1559" spans="1:9" x14ac:dyDescent="0.2">
      <c r="A1559" s="1"/>
      <c r="C1559" s="4"/>
      <c r="D1559" s="8"/>
      <c r="E1559" s="4"/>
      <c r="F1559" s="8"/>
      <c r="G1559" s="4"/>
      <c r="H1559" s="8"/>
      <c r="I1559" s="4"/>
    </row>
    <row r="1560" spans="1:9" x14ac:dyDescent="0.2">
      <c r="A1560" s="1" t="s">
        <v>68</v>
      </c>
      <c r="C1560" s="4"/>
      <c r="D1560" s="8"/>
      <c r="E1560" s="4"/>
      <c r="F1560" s="8"/>
      <c r="G1560" s="4"/>
      <c r="H1560" s="8"/>
      <c r="I1560" s="4"/>
    </row>
    <row r="1561" spans="1:9" x14ac:dyDescent="0.2">
      <c r="A1561" s="2">
        <v>1</v>
      </c>
      <c r="B1561" s="1" t="s">
        <v>152</v>
      </c>
      <c r="C1561" s="4">
        <v>7</v>
      </c>
      <c r="D1561" s="8">
        <v>4.3499999999999996</v>
      </c>
      <c r="E1561" s="4">
        <v>2</v>
      </c>
      <c r="F1561" s="8">
        <v>2.04</v>
      </c>
      <c r="G1561" s="4">
        <v>5</v>
      </c>
      <c r="H1561" s="8">
        <v>9.09</v>
      </c>
      <c r="I1561" s="4">
        <v>0</v>
      </c>
    </row>
    <row r="1562" spans="1:9" x14ac:dyDescent="0.2">
      <c r="A1562" s="2">
        <v>1</v>
      </c>
      <c r="B1562" s="1" t="s">
        <v>167</v>
      </c>
      <c r="C1562" s="4">
        <v>7</v>
      </c>
      <c r="D1562" s="8">
        <v>4.3499999999999996</v>
      </c>
      <c r="E1562" s="4">
        <v>7</v>
      </c>
      <c r="F1562" s="8">
        <v>7.14</v>
      </c>
      <c r="G1562" s="4">
        <v>0</v>
      </c>
      <c r="H1562" s="8">
        <v>0</v>
      </c>
      <c r="I1562" s="4">
        <v>0</v>
      </c>
    </row>
    <row r="1563" spans="1:9" x14ac:dyDescent="0.2">
      <c r="A1563" s="2">
        <v>1</v>
      </c>
      <c r="B1563" s="1" t="s">
        <v>168</v>
      </c>
      <c r="C1563" s="4">
        <v>7</v>
      </c>
      <c r="D1563" s="8">
        <v>4.3499999999999996</v>
      </c>
      <c r="E1563" s="4">
        <v>7</v>
      </c>
      <c r="F1563" s="8">
        <v>7.14</v>
      </c>
      <c r="G1563" s="4">
        <v>0</v>
      </c>
      <c r="H1563" s="8">
        <v>0</v>
      </c>
      <c r="I1563" s="4">
        <v>0</v>
      </c>
    </row>
    <row r="1564" spans="1:9" x14ac:dyDescent="0.2">
      <c r="A1564" s="2">
        <v>4</v>
      </c>
      <c r="B1564" s="1" t="s">
        <v>154</v>
      </c>
      <c r="C1564" s="4">
        <v>6</v>
      </c>
      <c r="D1564" s="8">
        <v>3.73</v>
      </c>
      <c r="E1564" s="4">
        <v>3</v>
      </c>
      <c r="F1564" s="8">
        <v>3.06</v>
      </c>
      <c r="G1564" s="4">
        <v>3</v>
      </c>
      <c r="H1564" s="8">
        <v>5.45</v>
      </c>
      <c r="I1564" s="4">
        <v>0</v>
      </c>
    </row>
    <row r="1565" spans="1:9" x14ac:dyDescent="0.2">
      <c r="A1565" s="2">
        <v>5</v>
      </c>
      <c r="B1565" s="1" t="s">
        <v>218</v>
      </c>
      <c r="C1565" s="4">
        <v>5</v>
      </c>
      <c r="D1565" s="8">
        <v>3.11</v>
      </c>
      <c r="E1565" s="4">
        <v>3</v>
      </c>
      <c r="F1565" s="8">
        <v>3.06</v>
      </c>
      <c r="G1565" s="4">
        <v>2</v>
      </c>
      <c r="H1565" s="8">
        <v>3.64</v>
      </c>
      <c r="I1565" s="4">
        <v>0</v>
      </c>
    </row>
    <row r="1566" spans="1:9" x14ac:dyDescent="0.2">
      <c r="A1566" s="2">
        <v>5</v>
      </c>
      <c r="B1566" s="1" t="s">
        <v>260</v>
      </c>
      <c r="C1566" s="4">
        <v>5</v>
      </c>
      <c r="D1566" s="8">
        <v>3.11</v>
      </c>
      <c r="E1566" s="4">
        <v>5</v>
      </c>
      <c r="F1566" s="8">
        <v>5.0999999999999996</v>
      </c>
      <c r="G1566" s="4">
        <v>0</v>
      </c>
      <c r="H1566" s="8">
        <v>0</v>
      </c>
      <c r="I1566" s="4">
        <v>0</v>
      </c>
    </row>
    <row r="1567" spans="1:9" x14ac:dyDescent="0.2">
      <c r="A1567" s="2">
        <v>5</v>
      </c>
      <c r="B1567" s="1" t="s">
        <v>249</v>
      </c>
      <c r="C1567" s="4">
        <v>5</v>
      </c>
      <c r="D1567" s="8">
        <v>3.11</v>
      </c>
      <c r="E1567" s="4">
        <v>4</v>
      </c>
      <c r="F1567" s="8">
        <v>4.08</v>
      </c>
      <c r="G1567" s="4">
        <v>1</v>
      </c>
      <c r="H1567" s="8">
        <v>1.82</v>
      </c>
      <c r="I1567" s="4">
        <v>0</v>
      </c>
    </row>
    <row r="1568" spans="1:9" x14ac:dyDescent="0.2">
      <c r="A1568" s="2">
        <v>8</v>
      </c>
      <c r="B1568" s="1" t="s">
        <v>191</v>
      </c>
      <c r="C1568" s="4">
        <v>4</v>
      </c>
      <c r="D1568" s="8">
        <v>2.48</v>
      </c>
      <c r="E1568" s="4">
        <v>3</v>
      </c>
      <c r="F1568" s="8">
        <v>3.06</v>
      </c>
      <c r="G1568" s="4">
        <v>1</v>
      </c>
      <c r="H1568" s="8">
        <v>1.82</v>
      </c>
      <c r="I1568" s="4">
        <v>0</v>
      </c>
    </row>
    <row r="1569" spans="1:9" x14ac:dyDescent="0.2">
      <c r="A1569" s="2">
        <v>8</v>
      </c>
      <c r="B1569" s="1" t="s">
        <v>163</v>
      </c>
      <c r="C1569" s="4">
        <v>4</v>
      </c>
      <c r="D1569" s="8">
        <v>2.48</v>
      </c>
      <c r="E1569" s="4">
        <v>4</v>
      </c>
      <c r="F1569" s="8">
        <v>4.08</v>
      </c>
      <c r="G1569" s="4">
        <v>0</v>
      </c>
      <c r="H1569" s="8">
        <v>0</v>
      </c>
      <c r="I1569" s="4">
        <v>0</v>
      </c>
    </row>
    <row r="1570" spans="1:9" x14ac:dyDescent="0.2">
      <c r="A1570" s="2">
        <v>8</v>
      </c>
      <c r="B1570" s="1" t="s">
        <v>166</v>
      </c>
      <c r="C1570" s="4">
        <v>4</v>
      </c>
      <c r="D1570" s="8">
        <v>2.48</v>
      </c>
      <c r="E1570" s="4">
        <v>3</v>
      </c>
      <c r="F1570" s="8">
        <v>3.06</v>
      </c>
      <c r="G1570" s="4">
        <v>1</v>
      </c>
      <c r="H1570" s="8">
        <v>1.82</v>
      </c>
      <c r="I1570" s="4">
        <v>0</v>
      </c>
    </row>
    <row r="1571" spans="1:9" x14ac:dyDescent="0.2">
      <c r="A1571" s="2">
        <v>8</v>
      </c>
      <c r="B1571" s="1" t="s">
        <v>263</v>
      </c>
      <c r="C1571" s="4">
        <v>4</v>
      </c>
      <c r="D1571" s="8">
        <v>2.48</v>
      </c>
      <c r="E1571" s="4">
        <v>4</v>
      </c>
      <c r="F1571" s="8">
        <v>4.08</v>
      </c>
      <c r="G1571" s="4">
        <v>0</v>
      </c>
      <c r="H1571" s="8">
        <v>0</v>
      </c>
      <c r="I1571" s="4">
        <v>0</v>
      </c>
    </row>
    <row r="1572" spans="1:9" x14ac:dyDescent="0.2">
      <c r="A1572" s="2">
        <v>8</v>
      </c>
      <c r="B1572" s="1" t="s">
        <v>171</v>
      </c>
      <c r="C1572" s="4">
        <v>4</v>
      </c>
      <c r="D1572" s="8">
        <v>2.48</v>
      </c>
      <c r="E1572" s="4">
        <v>4</v>
      </c>
      <c r="F1572" s="8">
        <v>4.08</v>
      </c>
      <c r="G1572" s="4">
        <v>0</v>
      </c>
      <c r="H1572" s="8">
        <v>0</v>
      </c>
      <c r="I1572" s="4">
        <v>0</v>
      </c>
    </row>
    <row r="1573" spans="1:9" x14ac:dyDescent="0.2">
      <c r="A1573" s="2">
        <v>13</v>
      </c>
      <c r="B1573" s="1" t="s">
        <v>199</v>
      </c>
      <c r="C1573" s="4">
        <v>3</v>
      </c>
      <c r="D1573" s="8">
        <v>1.86</v>
      </c>
      <c r="E1573" s="4">
        <v>0</v>
      </c>
      <c r="F1573" s="8">
        <v>0</v>
      </c>
      <c r="G1573" s="4">
        <v>3</v>
      </c>
      <c r="H1573" s="8">
        <v>5.45</v>
      </c>
      <c r="I1573" s="4">
        <v>0</v>
      </c>
    </row>
    <row r="1574" spans="1:9" x14ac:dyDescent="0.2">
      <c r="A1574" s="2">
        <v>13</v>
      </c>
      <c r="B1574" s="1" t="s">
        <v>156</v>
      </c>
      <c r="C1574" s="4">
        <v>3</v>
      </c>
      <c r="D1574" s="8">
        <v>1.86</v>
      </c>
      <c r="E1574" s="4">
        <v>2</v>
      </c>
      <c r="F1574" s="8">
        <v>2.04</v>
      </c>
      <c r="G1574" s="4">
        <v>1</v>
      </c>
      <c r="H1574" s="8">
        <v>1.82</v>
      </c>
      <c r="I1574" s="4">
        <v>0</v>
      </c>
    </row>
    <row r="1575" spans="1:9" x14ac:dyDescent="0.2">
      <c r="A1575" s="2">
        <v>13</v>
      </c>
      <c r="B1575" s="1" t="s">
        <v>198</v>
      </c>
      <c r="C1575" s="4">
        <v>3</v>
      </c>
      <c r="D1575" s="8">
        <v>1.86</v>
      </c>
      <c r="E1575" s="4">
        <v>3</v>
      </c>
      <c r="F1575" s="8">
        <v>3.06</v>
      </c>
      <c r="G1575" s="4">
        <v>0</v>
      </c>
      <c r="H1575" s="8">
        <v>0</v>
      </c>
      <c r="I1575" s="4">
        <v>0</v>
      </c>
    </row>
    <row r="1576" spans="1:9" x14ac:dyDescent="0.2">
      <c r="A1576" s="2">
        <v>13</v>
      </c>
      <c r="B1576" s="1" t="s">
        <v>157</v>
      </c>
      <c r="C1576" s="4">
        <v>3</v>
      </c>
      <c r="D1576" s="8">
        <v>1.86</v>
      </c>
      <c r="E1576" s="4">
        <v>2</v>
      </c>
      <c r="F1576" s="8">
        <v>2.04</v>
      </c>
      <c r="G1576" s="4">
        <v>1</v>
      </c>
      <c r="H1576" s="8">
        <v>1.82</v>
      </c>
      <c r="I1576" s="4">
        <v>0</v>
      </c>
    </row>
    <row r="1577" spans="1:9" x14ac:dyDescent="0.2">
      <c r="A1577" s="2">
        <v>13</v>
      </c>
      <c r="B1577" s="1" t="s">
        <v>261</v>
      </c>
      <c r="C1577" s="4">
        <v>3</v>
      </c>
      <c r="D1577" s="8">
        <v>1.86</v>
      </c>
      <c r="E1577" s="4">
        <v>0</v>
      </c>
      <c r="F1577" s="8">
        <v>0</v>
      </c>
      <c r="G1577" s="4">
        <v>2</v>
      </c>
      <c r="H1577" s="8">
        <v>3.64</v>
      </c>
      <c r="I1577" s="4">
        <v>0</v>
      </c>
    </row>
    <row r="1578" spans="1:9" x14ac:dyDescent="0.2">
      <c r="A1578" s="2">
        <v>18</v>
      </c>
      <c r="B1578" s="1" t="s">
        <v>153</v>
      </c>
      <c r="C1578" s="4">
        <v>2</v>
      </c>
      <c r="D1578" s="8">
        <v>1.24</v>
      </c>
      <c r="E1578" s="4">
        <v>1</v>
      </c>
      <c r="F1578" s="8">
        <v>1.02</v>
      </c>
      <c r="G1578" s="4">
        <v>1</v>
      </c>
      <c r="H1578" s="8">
        <v>1.82</v>
      </c>
      <c r="I1578" s="4">
        <v>0</v>
      </c>
    </row>
    <row r="1579" spans="1:9" x14ac:dyDescent="0.2">
      <c r="A1579" s="2">
        <v>18</v>
      </c>
      <c r="B1579" s="1" t="s">
        <v>203</v>
      </c>
      <c r="C1579" s="4">
        <v>2</v>
      </c>
      <c r="D1579" s="8">
        <v>1.24</v>
      </c>
      <c r="E1579" s="4">
        <v>1</v>
      </c>
      <c r="F1579" s="8">
        <v>1.02</v>
      </c>
      <c r="G1579" s="4">
        <v>1</v>
      </c>
      <c r="H1579" s="8">
        <v>1.82</v>
      </c>
      <c r="I1579" s="4">
        <v>0</v>
      </c>
    </row>
    <row r="1580" spans="1:9" x14ac:dyDescent="0.2">
      <c r="A1580" s="2">
        <v>18</v>
      </c>
      <c r="B1580" s="1" t="s">
        <v>217</v>
      </c>
      <c r="C1580" s="4">
        <v>2</v>
      </c>
      <c r="D1580" s="8">
        <v>1.24</v>
      </c>
      <c r="E1580" s="4">
        <v>2</v>
      </c>
      <c r="F1580" s="8">
        <v>2.04</v>
      </c>
      <c r="G1580" s="4">
        <v>0</v>
      </c>
      <c r="H1580" s="8">
        <v>0</v>
      </c>
      <c r="I1580" s="4">
        <v>0</v>
      </c>
    </row>
    <row r="1581" spans="1:9" x14ac:dyDescent="0.2">
      <c r="A1581" s="2">
        <v>18</v>
      </c>
      <c r="B1581" s="1" t="s">
        <v>243</v>
      </c>
      <c r="C1581" s="4">
        <v>2</v>
      </c>
      <c r="D1581" s="8">
        <v>1.24</v>
      </c>
      <c r="E1581" s="4">
        <v>2</v>
      </c>
      <c r="F1581" s="8">
        <v>2.04</v>
      </c>
      <c r="G1581" s="4">
        <v>0</v>
      </c>
      <c r="H1581" s="8">
        <v>0</v>
      </c>
      <c r="I1581" s="4">
        <v>0</v>
      </c>
    </row>
    <row r="1582" spans="1:9" x14ac:dyDescent="0.2">
      <c r="A1582" s="2">
        <v>18</v>
      </c>
      <c r="B1582" s="1" t="s">
        <v>155</v>
      </c>
      <c r="C1582" s="4">
        <v>2</v>
      </c>
      <c r="D1582" s="8">
        <v>1.24</v>
      </c>
      <c r="E1582" s="4">
        <v>1</v>
      </c>
      <c r="F1582" s="8">
        <v>1.02</v>
      </c>
      <c r="G1582" s="4">
        <v>1</v>
      </c>
      <c r="H1582" s="8">
        <v>1.82</v>
      </c>
      <c r="I1582" s="4">
        <v>0</v>
      </c>
    </row>
    <row r="1583" spans="1:9" x14ac:dyDescent="0.2">
      <c r="A1583" s="2">
        <v>18</v>
      </c>
      <c r="B1583" s="1" t="s">
        <v>252</v>
      </c>
      <c r="C1583" s="4">
        <v>2</v>
      </c>
      <c r="D1583" s="8">
        <v>1.24</v>
      </c>
      <c r="E1583" s="4">
        <v>2</v>
      </c>
      <c r="F1583" s="8">
        <v>2.04</v>
      </c>
      <c r="G1583" s="4">
        <v>0</v>
      </c>
      <c r="H1583" s="8">
        <v>0</v>
      </c>
      <c r="I1583" s="4">
        <v>0</v>
      </c>
    </row>
    <row r="1584" spans="1:9" x14ac:dyDescent="0.2">
      <c r="A1584" s="2">
        <v>18</v>
      </c>
      <c r="B1584" s="1" t="s">
        <v>253</v>
      </c>
      <c r="C1584" s="4">
        <v>2</v>
      </c>
      <c r="D1584" s="8">
        <v>1.24</v>
      </c>
      <c r="E1584" s="4">
        <v>0</v>
      </c>
      <c r="F1584" s="8">
        <v>0</v>
      </c>
      <c r="G1584" s="4">
        <v>2</v>
      </c>
      <c r="H1584" s="8">
        <v>3.64</v>
      </c>
      <c r="I1584" s="4">
        <v>0</v>
      </c>
    </row>
    <row r="1585" spans="1:9" x14ac:dyDescent="0.2">
      <c r="A1585" s="2">
        <v>18</v>
      </c>
      <c r="B1585" s="1" t="s">
        <v>254</v>
      </c>
      <c r="C1585" s="4">
        <v>2</v>
      </c>
      <c r="D1585" s="8">
        <v>1.24</v>
      </c>
      <c r="E1585" s="4">
        <v>2</v>
      </c>
      <c r="F1585" s="8">
        <v>2.04</v>
      </c>
      <c r="G1585" s="4">
        <v>0</v>
      </c>
      <c r="H1585" s="8">
        <v>0</v>
      </c>
      <c r="I1585" s="4">
        <v>0</v>
      </c>
    </row>
    <row r="1586" spans="1:9" x14ac:dyDescent="0.2">
      <c r="A1586" s="2">
        <v>18</v>
      </c>
      <c r="B1586" s="1" t="s">
        <v>255</v>
      </c>
      <c r="C1586" s="4">
        <v>2</v>
      </c>
      <c r="D1586" s="8">
        <v>1.24</v>
      </c>
      <c r="E1586" s="4">
        <v>1</v>
      </c>
      <c r="F1586" s="8">
        <v>1.02</v>
      </c>
      <c r="G1586" s="4">
        <v>1</v>
      </c>
      <c r="H1586" s="8">
        <v>1.82</v>
      </c>
      <c r="I1586" s="4">
        <v>0</v>
      </c>
    </row>
    <row r="1587" spans="1:9" x14ac:dyDescent="0.2">
      <c r="A1587" s="2">
        <v>18</v>
      </c>
      <c r="B1587" s="1" t="s">
        <v>224</v>
      </c>
      <c r="C1587" s="4">
        <v>2</v>
      </c>
      <c r="D1587" s="8">
        <v>1.24</v>
      </c>
      <c r="E1587" s="4">
        <v>1</v>
      </c>
      <c r="F1587" s="8">
        <v>1.02</v>
      </c>
      <c r="G1587" s="4">
        <v>1</v>
      </c>
      <c r="H1587" s="8">
        <v>1.82</v>
      </c>
      <c r="I1587" s="4">
        <v>0</v>
      </c>
    </row>
    <row r="1588" spans="1:9" x14ac:dyDescent="0.2">
      <c r="A1588" s="2">
        <v>18</v>
      </c>
      <c r="B1588" s="1" t="s">
        <v>256</v>
      </c>
      <c r="C1588" s="4">
        <v>2</v>
      </c>
      <c r="D1588" s="8">
        <v>1.24</v>
      </c>
      <c r="E1588" s="4">
        <v>2</v>
      </c>
      <c r="F1588" s="8">
        <v>2.04</v>
      </c>
      <c r="G1588" s="4">
        <v>0</v>
      </c>
      <c r="H1588" s="8">
        <v>0</v>
      </c>
      <c r="I1588" s="4">
        <v>0</v>
      </c>
    </row>
    <row r="1589" spans="1:9" x14ac:dyDescent="0.2">
      <c r="A1589" s="2">
        <v>18</v>
      </c>
      <c r="B1589" s="1" t="s">
        <v>257</v>
      </c>
      <c r="C1589" s="4">
        <v>2</v>
      </c>
      <c r="D1589" s="8">
        <v>1.24</v>
      </c>
      <c r="E1589" s="4">
        <v>2</v>
      </c>
      <c r="F1589" s="8">
        <v>2.04</v>
      </c>
      <c r="G1589" s="4">
        <v>0</v>
      </c>
      <c r="H1589" s="8">
        <v>0</v>
      </c>
      <c r="I1589" s="4">
        <v>0</v>
      </c>
    </row>
    <row r="1590" spans="1:9" x14ac:dyDescent="0.2">
      <c r="A1590" s="2">
        <v>18</v>
      </c>
      <c r="B1590" s="1" t="s">
        <v>258</v>
      </c>
      <c r="C1590" s="4">
        <v>2</v>
      </c>
      <c r="D1590" s="8">
        <v>1.24</v>
      </c>
      <c r="E1590" s="4">
        <v>2</v>
      </c>
      <c r="F1590" s="8">
        <v>2.04</v>
      </c>
      <c r="G1590" s="4">
        <v>0</v>
      </c>
      <c r="H1590" s="8">
        <v>0</v>
      </c>
      <c r="I1590" s="4">
        <v>0</v>
      </c>
    </row>
    <row r="1591" spans="1:9" x14ac:dyDescent="0.2">
      <c r="A1591" s="2">
        <v>18</v>
      </c>
      <c r="B1591" s="1" t="s">
        <v>186</v>
      </c>
      <c r="C1591" s="4">
        <v>2</v>
      </c>
      <c r="D1591" s="8">
        <v>1.24</v>
      </c>
      <c r="E1591" s="4">
        <v>1</v>
      </c>
      <c r="F1591" s="8">
        <v>1.02</v>
      </c>
      <c r="G1591" s="4">
        <v>1</v>
      </c>
      <c r="H1591" s="8">
        <v>1.82</v>
      </c>
      <c r="I1591" s="4">
        <v>0</v>
      </c>
    </row>
    <row r="1592" spans="1:9" x14ac:dyDescent="0.2">
      <c r="A1592" s="2">
        <v>18</v>
      </c>
      <c r="B1592" s="1" t="s">
        <v>259</v>
      </c>
      <c r="C1592" s="4">
        <v>2</v>
      </c>
      <c r="D1592" s="8">
        <v>1.24</v>
      </c>
      <c r="E1592" s="4">
        <v>1</v>
      </c>
      <c r="F1592" s="8">
        <v>1.02</v>
      </c>
      <c r="G1592" s="4">
        <v>1</v>
      </c>
      <c r="H1592" s="8">
        <v>1.82</v>
      </c>
      <c r="I1592" s="4">
        <v>0</v>
      </c>
    </row>
    <row r="1593" spans="1:9" x14ac:dyDescent="0.2">
      <c r="A1593" s="2">
        <v>18</v>
      </c>
      <c r="B1593" s="1" t="s">
        <v>158</v>
      </c>
      <c r="C1593" s="4">
        <v>2</v>
      </c>
      <c r="D1593" s="8">
        <v>1.24</v>
      </c>
      <c r="E1593" s="4">
        <v>2</v>
      </c>
      <c r="F1593" s="8">
        <v>2.04</v>
      </c>
      <c r="G1593" s="4">
        <v>0</v>
      </c>
      <c r="H1593" s="8">
        <v>0</v>
      </c>
      <c r="I1593" s="4">
        <v>0</v>
      </c>
    </row>
    <row r="1594" spans="1:9" x14ac:dyDescent="0.2">
      <c r="A1594" s="2">
        <v>18</v>
      </c>
      <c r="B1594" s="1" t="s">
        <v>222</v>
      </c>
      <c r="C1594" s="4">
        <v>2</v>
      </c>
      <c r="D1594" s="8">
        <v>1.24</v>
      </c>
      <c r="E1594" s="4">
        <v>2</v>
      </c>
      <c r="F1594" s="8">
        <v>2.04</v>
      </c>
      <c r="G1594" s="4">
        <v>0</v>
      </c>
      <c r="H1594" s="8">
        <v>0</v>
      </c>
      <c r="I1594" s="4">
        <v>0</v>
      </c>
    </row>
    <row r="1595" spans="1:9" x14ac:dyDescent="0.2">
      <c r="A1595" s="2">
        <v>18</v>
      </c>
      <c r="B1595" s="1" t="s">
        <v>262</v>
      </c>
      <c r="C1595" s="4">
        <v>2</v>
      </c>
      <c r="D1595" s="8">
        <v>1.24</v>
      </c>
      <c r="E1595" s="4">
        <v>1</v>
      </c>
      <c r="F1595" s="8">
        <v>1.02</v>
      </c>
      <c r="G1595" s="4">
        <v>1</v>
      </c>
      <c r="H1595" s="8">
        <v>1.82</v>
      </c>
      <c r="I1595" s="4">
        <v>0</v>
      </c>
    </row>
    <row r="1596" spans="1:9" x14ac:dyDescent="0.2">
      <c r="A1596" s="2">
        <v>18</v>
      </c>
      <c r="B1596" s="1" t="s">
        <v>165</v>
      </c>
      <c r="C1596" s="4">
        <v>2</v>
      </c>
      <c r="D1596" s="8">
        <v>1.24</v>
      </c>
      <c r="E1596" s="4">
        <v>1</v>
      </c>
      <c r="F1596" s="8">
        <v>1.02</v>
      </c>
      <c r="G1596" s="4">
        <v>1</v>
      </c>
      <c r="H1596" s="8">
        <v>1.82</v>
      </c>
      <c r="I1596" s="4">
        <v>0</v>
      </c>
    </row>
    <row r="1597" spans="1:9" x14ac:dyDescent="0.2">
      <c r="A1597" s="2">
        <v>18</v>
      </c>
      <c r="B1597" s="1" t="s">
        <v>211</v>
      </c>
      <c r="C1597" s="4">
        <v>2</v>
      </c>
      <c r="D1597" s="8">
        <v>1.24</v>
      </c>
      <c r="E1597" s="4">
        <v>0</v>
      </c>
      <c r="F1597" s="8">
        <v>0</v>
      </c>
      <c r="G1597" s="4">
        <v>0</v>
      </c>
      <c r="H1597" s="8">
        <v>0</v>
      </c>
      <c r="I1597" s="4">
        <v>0</v>
      </c>
    </row>
    <row r="1598" spans="1:9" x14ac:dyDescent="0.2">
      <c r="A1598" s="2">
        <v>18</v>
      </c>
      <c r="B1598" s="1" t="s">
        <v>250</v>
      </c>
      <c r="C1598" s="4">
        <v>2</v>
      </c>
      <c r="D1598" s="8">
        <v>1.24</v>
      </c>
      <c r="E1598" s="4">
        <v>0</v>
      </c>
      <c r="F1598" s="8">
        <v>0</v>
      </c>
      <c r="G1598" s="4">
        <v>2</v>
      </c>
      <c r="H1598" s="8">
        <v>3.64</v>
      </c>
      <c r="I1598" s="4">
        <v>0</v>
      </c>
    </row>
    <row r="1599" spans="1:9" x14ac:dyDescent="0.2">
      <c r="A1599" s="2">
        <v>18</v>
      </c>
      <c r="B1599" s="1" t="s">
        <v>180</v>
      </c>
      <c r="C1599" s="4">
        <v>2</v>
      </c>
      <c r="D1599" s="8">
        <v>1.24</v>
      </c>
      <c r="E1599" s="4">
        <v>0</v>
      </c>
      <c r="F1599" s="8">
        <v>0</v>
      </c>
      <c r="G1599" s="4">
        <v>2</v>
      </c>
      <c r="H1599" s="8">
        <v>3.64</v>
      </c>
      <c r="I1599" s="4">
        <v>0</v>
      </c>
    </row>
    <row r="1600" spans="1:9" x14ac:dyDescent="0.2">
      <c r="A1600" s="1"/>
      <c r="C1600" s="4"/>
      <c r="D1600" s="8"/>
      <c r="E1600" s="4"/>
      <c r="F1600" s="8"/>
      <c r="G1600" s="4"/>
      <c r="H1600" s="8"/>
      <c r="I1600" s="4"/>
    </row>
    <row r="1601" spans="1:9" x14ac:dyDescent="0.2">
      <c r="A1601" s="1" t="s">
        <v>69</v>
      </c>
      <c r="C1601" s="4"/>
      <c r="D1601" s="8"/>
      <c r="E1601" s="4"/>
      <c r="F1601" s="8"/>
      <c r="G1601" s="4"/>
      <c r="H1601" s="8"/>
      <c r="I1601" s="4"/>
    </row>
    <row r="1602" spans="1:9" x14ac:dyDescent="0.2">
      <c r="A1602" s="2">
        <v>1</v>
      </c>
      <c r="B1602" s="1" t="s">
        <v>205</v>
      </c>
      <c r="C1602" s="4">
        <v>8</v>
      </c>
      <c r="D1602" s="8">
        <v>6.35</v>
      </c>
      <c r="E1602" s="4">
        <v>6</v>
      </c>
      <c r="F1602" s="8">
        <v>6.45</v>
      </c>
      <c r="G1602" s="4">
        <v>2</v>
      </c>
      <c r="H1602" s="8">
        <v>6.9</v>
      </c>
      <c r="I1602" s="4">
        <v>0</v>
      </c>
    </row>
    <row r="1603" spans="1:9" x14ac:dyDescent="0.2">
      <c r="A1603" s="2">
        <v>2</v>
      </c>
      <c r="B1603" s="1" t="s">
        <v>152</v>
      </c>
      <c r="C1603" s="4">
        <v>5</v>
      </c>
      <c r="D1603" s="8">
        <v>3.97</v>
      </c>
      <c r="E1603" s="4">
        <v>1</v>
      </c>
      <c r="F1603" s="8">
        <v>1.08</v>
      </c>
      <c r="G1603" s="4">
        <v>4</v>
      </c>
      <c r="H1603" s="8">
        <v>13.79</v>
      </c>
      <c r="I1603" s="4">
        <v>0</v>
      </c>
    </row>
    <row r="1604" spans="1:9" x14ac:dyDescent="0.2">
      <c r="A1604" s="2">
        <v>2</v>
      </c>
      <c r="B1604" s="1" t="s">
        <v>156</v>
      </c>
      <c r="C1604" s="4">
        <v>5</v>
      </c>
      <c r="D1604" s="8">
        <v>3.97</v>
      </c>
      <c r="E1604" s="4">
        <v>4</v>
      </c>
      <c r="F1604" s="8">
        <v>4.3</v>
      </c>
      <c r="G1604" s="4">
        <v>1</v>
      </c>
      <c r="H1604" s="8">
        <v>3.45</v>
      </c>
      <c r="I1604" s="4">
        <v>0</v>
      </c>
    </row>
    <row r="1605" spans="1:9" x14ac:dyDescent="0.2">
      <c r="A1605" s="2">
        <v>2</v>
      </c>
      <c r="B1605" s="1" t="s">
        <v>222</v>
      </c>
      <c r="C1605" s="4">
        <v>5</v>
      </c>
      <c r="D1605" s="8">
        <v>3.97</v>
      </c>
      <c r="E1605" s="4">
        <v>3</v>
      </c>
      <c r="F1605" s="8">
        <v>3.23</v>
      </c>
      <c r="G1605" s="4">
        <v>2</v>
      </c>
      <c r="H1605" s="8">
        <v>6.9</v>
      </c>
      <c r="I1605" s="4">
        <v>0</v>
      </c>
    </row>
    <row r="1606" spans="1:9" x14ac:dyDescent="0.2">
      <c r="A1606" s="2">
        <v>5</v>
      </c>
      <c r="B1606" s="1" t="s">
        <v>154</v>
      </c>
      <c r="C1606" s="4">
        <v>4</v>
      </c>
      <c r="D1606" s="8">
        <v>3.17</v>
      </c>
      <c r="E1606" s="4">
        <v>3</v>
      </c>
      <c r="F1606" s="8">
        <v>3.23</v>
      </c>
      <c r="G1606" s="4">
        <v>1</v>
      </c>
      <c r="H1606" s="8">
        <v>3.45</v>
      </c>
      <c r="I1606" s="4">
        <v>0</v>
      </c>
    </row>
    <row r="1607" spans="1:9" x14ac:dyDescent="0.2">
      <c r="A1607" s="2">
        <v>5</v>
      </c>
      <c r="B1607" s="1" t="s">
        <v>210</v>
      </c>
      <c r="C1607" s="4">
        <v>4</v>
      </c>
      <c r="D1607" s="8">
        <v>3.17</v>
      </c>
      <c r="E1607" s="4">
        <v>4</v>
      </c>
      <c r="F1607" s="8">
        <v>4.3</v>
      </c>
      <c r="G1607" s="4">
        <v>0</v>
      </c>
      <c r="H1607" s="8">
        <v>0</v>
      </c>
      <c r="I1607" s="4">
        <v>0</v>
      </c>
    </row>
    <row r="1608" spans="1:9" x14ac:dyDescent="0.2">
      <c r="A1608" s="2">
        <v>5</v>
      </c>
      <c r="B1608" s="1" t="s">
        <v>186</v>
      </c>
      <c r="C1608" s="4">
        <v>4</v>
      </c>
      <c r="D1608" s="8">
        <v>3.17</v>
      </c>
      <c r="E1608" s="4">
        <v>4</v>
      </c>
      <c r="F1608" s="8">
        <v>4.3</v>
      </c>
      <c r="G1608" s="4">
        <v>0</v>
      </c>
      <c r="H1608" s="8">
        <v>0</v>
      </c>
      <c r="I1608" s="4">
        <v>0</v>
      </c>
    </row>
    <row r="1609" spans="1:9" x14ac:dyDescent="0.2">
      <c r="A1609" s="2">
        <v>5</v>
      </c>
      <c r="B1609" s="1" t="s">
        <v>163</v>
      </c>
      <c r="C1609" s="4">
        <v>4</v>
      </c>
      <c r="D1609" s="8">
        <v>3.17</v>
      </c>
      <c r="E1609" s="4">
        <v>3</v>
      </c>
      <c r="F1609" s="8">
        <v>3.23</v>
      </c>
      <c r="G1609" s="4">
        <v>1</v>
      </c>
      <c r="H1609" s="8">
        <v>3.45</v>
      </c>
      <c r="I1609" s="4">
        <v>0</v>
      </c>
    </row>
    <row r="1610" spans="1:9" x14ac:dyDescent="0.2">
      <c r="A1610" s="2">
        <v>5</v>
      </c>
      <c r="B1610" s="1" t="s">
        <v>165</v>
      </c>
      <c r="C1610" s="4">
        <v>4</v>
      </c>
      <c r="D1610" s="8">
        <v>3.17</v>
      </c>
      <c r="E1610" s="4">
        <v>3</v>
      </c>
      <c r="F1610" s="8">
        <v>3.23</v>
      </c>
      <c r="G1610" s="4">
        <v>1</v>
      </c>
      <c r="H1610" s="8">
        <v>3.45</v>
      </c>
      <c r="I1610" s="4">
        <v>0</v>
      </c>
    </row>
    <row r="1611" spans="1:9" x14ac:dyDescent="0.2">
      <c r="A1611" s="2">
        <v>5</v>
      </c>
      <c r="B1611" s="1" t="s">
        <v>168</v>
      </c>
      <c r="C1611" s="4">
        <v>4</v>
      </c>
      <c r="D1611" s="8">
        <v>3.17</v>
      </c>
      <c r="E1611" s="4">
        <v>4</v>
      </c>
      <c r="F1611" s="8">
        <v>4.3</v>
      </c>
      <c r="G1611" s="4">
        <v>0</v>
      </c>
      <c r="H1611" s="8">
        <v>0</v>
      </c>
      <c r="I1611" s="4">
        <v>0</v>
      </c>
    </row>
    <row r="1612" spans="1:9" x14ac:dyDescent="0.2">
      <c r="A1612" s="2">
        <v>11</v>
      </c>
      <c r="B1612" s="1" t="s">
        <v>203</v>
      </c>
      <c r="C1612" s="4">
        <v>3</v>
      </c>
      <c r="D1612" s="8">
        <v>2.38</v>
      </c>
      <c r="E1612" s="4">
        <v>3</v>
      </c>
      <c r="F1612" s="8">
        <v>3.23</v>
      </c>
      <c r="G1612" s="4">
        <v>0</v>
      </c>
      <c r="H1612" s="8">
        <v>0</v>
      </c>
      <c r="I1612" s="4">
        <v>0</v>
      </c>
    </row>
    <row r="1613" spans="1:9" x14ac:dyDescent="0.2">
      <c r="A1613" s="2">
        <v>11</v>
      </c>
      <c r="B1613" s="1" t="s">
        <v>217</v>
      </c>
      <c r="C1613" s="4">
        <v>3</v>
      </c>
      <c r="D1613" s="8">
        <v>2.38</v>
      </c>
      <c r="E1613" s="4">
        <v>3</v>
      </c>
      <c r="F1613" s="8">
        <v>3.23</v>
      </c>
      <c r="G1613" s="4">
        <v>0</v>
      </c>
      <c r="H1613" s="8">
        <v>0</v>
      </c>
      <c r="I1613" s="4">
        <v>0</v>
      </c>
    </row>
    <row r="1614" spans="1:9" x14ac:dyDescent="0.2">
      <c r="A1614" s="2">
        <v>11</v>
      </c>
      <c r="B1614" s="1" t="s">
        <v>191</v>
      </c>
      <c r="C1614" s="4">
        <v>3</v>
      </c>
      <c r="D1614" s="8">
        <v>2.38</v>
      </c>
      <c r="E1614" s="4">
        <v>2</v>
      </c>
      <c r="F1614" s="8">
        <v>2.15</v>
      </c>
      <c r="G1614" s="4">
        <v>1</v>
      </c>
      <c r="H1614" s="8">
        <v>3.45</v>
      </c>
      <c r="I1614" s="4">
        <v>0</v>
      </c>
    </row>
    <row r="1615" spans="1:9" x14ac:dyDescent="0.2">
      <c r="A1615" s="2">
        <v>11</v>
      </c>
      <c r="B1615" s="1" t="s">
        <v>167</v>
      </c>
      <c r="C1615" s="4">
        <v>3</v>
      </c>
      <c r="D1615" s="8">
        <v>2.38</v>
      </c>
      <c r="E1615" s="4">
        <v>3</v>
      </c>
      <c r="F1615" s="8">
        <v>3.23</v>
      </c>
      <c r="G1615" s="4">
        <v>0</v>
      </c>
      <c r="H1615" s="8">
        <v>0</v>
      </c>
      <c r="I1615" s="4">
        <v>0</v>
      </c>
    </row>
    <row r="1616" spans="1:9" x14ac:dyDescent="0.2">
      <c r="A1616" s="2">
        <v>11</v>
      </c>
      <c r="B1616" s="1" t="s">
        <v>170</v>
      </c>
      <c r="C1616" s="4">
        <v>3</v>
      </c>
      <c r="D1616" s="8">
        <v>2.38</v>
      </c>
      <c r="E1616" s="4">
        <v>3</v>
      </c>
      <c r="F1616" s="8">
        <v>3.23</v>
      </c>
      <c r="G1616" s="4">
        <v>0</v>
      </c>
      <c r="H1616" s="8">
        <v>0</v>
      </c>
      <c r="I1616" s="4">
        <v>0</v>
      </c>
    </row>
    <row r="1617" spans="1:9" x14ac:dyDescent="0.2">
      <c r="A1617" s="2">
        <v>11</v>
      </c>
      <c r="B1617" s="1" t="s">
        <v>171</v>
      </c>
      <c r="C1617" s="4">
        <v>3</v>
      </c>
      <c r="D1617" s="8">
        <v>2.38</v>
      </c>
      <c r="E1617" s="4">
        <v>3</v>
      </c>
      <c r="F1617" s="8">
        <v>3.23</v>
      </c>
      <c r="G1617" s="4">
        <v>0</v>
      </c>
      <c r="H1617" s="8">
        <v>0</v>
      </c>
      <c r="I1617" s="4">
        <v>0</v>
      </c>
    </row>
    <row r="1618" spans="1:9" x14ac:dyDescent="0.2">
      <c r="A1618" s="2">
        <v>17</v>
      </c>
      <c r="B1618" s="1" t="s">
        <v>155</v>
      </c>
      <c r="C1618" s="4">
        <v>2</v>
      </c>
      <c r="D1618" s="8">
        <v>1.59</v>
      </c>
      <c r="E1618" s="4">
        <v>2</v>
      </c>
      <c r="F1618" s="8">
        <v>2.15</v>
      </c>
      <c r="G1618" s="4">
        <v>0</v>
      </c>
      <c r="H1618" s="8">
        <v>0</v>
      </c>
      <c r="I1618" s="4">
        <v>0</v>
      </c>
    </row>
    <row r="1619" spans="1:9" x14ac:dyDescent="0.2">
      <c r="A1619" s="2">
        <v>17</v>
      </c>
      <c r="B1619" s="1" t="s">
        <v>253</v>
      </c>
      <c r="C1619" s="4">
        <v>2</v>
      </c>
      <c r="D1619" s="8">
        <v>1.59</v>
      </c>
      <c r="E1619" s="4">
        <v>1</v>
      </c>
      <c r="F1619" s="8">
        <v>1.08</v>
      </c>
      <c r="G1619" s="4">
        <v>1</v>
      </c>
      <c r="H1619" s="8">
        <v>3.45</v>
      </c>
      <c r="I1619" s="4">
        <v>0</v>
      </c>
    </row>
    <row r="1620" spans="1:9" x14ac:dyDescent="0.2">
      <c r="A1620" s="2">
        <v>17</v>
      </c>
      <c r="B1620" s="1" t="s">
        <v>194</v>
      </c>
      <c r="C1620" s="4">
        <v>2</v>
      </c>
      <c r="D1620" s="8">
        <v>1.59</v>
      </c>
      <c r="E1620" s="4">
        <v>1</v>
      </c>
      <c r="F1620" s="8">
        <v>1.08</v>
      </c>
      <c r="G1620" s="4">
        <v>1</v>
      </c>
      <c r="H1620" s="8">
        <v>3.45</v>
      </c>
      <c r="I1620" s="4">
        <v>0</v>
      </c>
    </row>
    <row r="1621" spans="1:9" x14ac:dyDescent="0.2">
      <c r="A1621" s="2">
        <v>17</v>
      </c>
      <c r="B1621" s="1" t="s">
        <v>198</v>
      </c>
      <c r="C1621" s="4">
        <v>2</v>
      </c>
      <c r="D1621" s="8">
        <v>1.59</v>
      </c>
      <c r="E1621" s="4">
        <v>2</v>
      </c>
      <c r="F1621" s="8">
        <v>2.15</v>
      </c>
      <c r="G1621" s="4">
        <v>0</v>
      </c>
      <c r="H1621" s="8">
        <v>0</v>
      </c>
      <c r="I1621" s="4">
        <v>0</v>
      </c>
    </row>
    <row r="1622" spans="1:9" x14ac:dyDescent="0.2">
      <c r="A1622" s="2">
        <v>17</v>
      </c>
      <c r="B1622" s="1" t="s">
        <v>218</v>
      </c>
      <c r="C1622" s="4">
        <v>2</v>
      </c>
      <c r="D1622" s="8">
        <v>1.59</v>
      </c>
      <c r="E1622" s="4">
        <v>1</v>
      </c>
      <c r="F1622" s="8">
        <v>1.08</v>
      </c>
      <c r="G1622" s="4">
        <v>1</v>
      </c>
      <c r="H1622" s="8">
        <v>3.45</v>
      </c>
      <c r="I1622" s="4">
        <v>0</v>
      </c>
    </row>
    <row r="1623" spans="1:9" x14ac:dyDescent="0.2">
      <c r="A1623" s="2">
        <v>17</v>
      </c>
      <c r="B1623" s="1" t="s">
        <v>264</v>
      </c>
      <c r="C1623" s="4">
        <v>2</v>
      </c>
      <c r="D1623" s="8">
        <v>1.59</v>
      </c>
      <c r="E1623" s="4">
        <v>2</v>
      </c>
      <c r="F1623" s="8">
        <v>2.15</v>
      </c>
      <c r="G1623" s="4">
        <v>0</v>
      </c>
      <c r="H1623" s="8">
        <v>0</v>
      </c>
      <c r="I1623" s="4">
        <v>0</v>
      </c>
    </row>
    <row r="1624" spans="1:9" x14ac:dyDescent="0.2">
      <c r="A1624" s="2">
        <v>17</v>
      </c>
      <c r="B1624" s="1" t="s">
        <v>158</v>
      </c>
      <c r="C1624" s="4">
        <v>2</v>
      </c>
      <c r="D1624" s="8">
        <v>1.59</v>
      </c>
      <c r="E1624" s="4">
        <v>2</v>
      </c>
      <c r="F1624" s="8">
        <v>2.15</v>
      </c>
      <c r="G1624" s="4">
        <v>0</v>
      </c>
      <c r="H1624" s="8">
        <v>0</v>
      </c>
      <c r="I1624" s="4">
        <v>0</v>
      </c>
    </row>
    <row r="1625" spans="1:9" x14ac:dyDescent="0.2">
      <c r="A1625" s="2">
        <v>17</v>
      </c>
      <c r="B1625" s="1" t="s">
        <v>261</v>
      </c>
      <c r="C1625" s="4">
        <v>2</v>
      </c>
      <c r="D1625" s="8">
        <v>1.59</v>
      </c>
      <c r="E1625" s="4">
        <v>1</v>
      </c>
      <c r="F1625" s="8">
        <v>1.08</v>
      </c>
      <c r="G1625" s="4">
        <v>1</v>
      </c>
      <c r="H1625" s="8">
        <v>3.45</v>
      </c>
      <c r="I1625" s="4">
        <v>0</v>
      </c>
    </row>
    <row r="1626" spans="1:9" x14ac:dyDescent="0.2">
      <c r="A1626" s="2">
        <v>17</v>
      </c>
      <c r="B1626" s="1" t="s">
        <v>164</v>
      </c>
      <c r="C1626" s="4">
        <v>2</v>
      </c>
      <c r="D1626" s="8">
        <v>1.59</v>
      </c>
      <c r="E1626" s="4">
        <v>2</v>
      </c>
      <c r="F1626" s="8">
        <v>2.15</v>
      </c>
      <c r="G1626" s="4">
        <v>0</v>
      </c>
      <c r="H1626" s="8">
        <v>0</v>
      </c>
      <c r="I1626" s="4">
        <v>0</v>
      </c>
    </row>
    <row r="1627" spans="1:9" x14ac:dyDescent="0.2">
      <c r="A1627" s="2">
        <v>17</v>
      </c>
      <c r="B1627" s="1" t="s">
        <v>250</v>
      </c>
      <c r="C1627" s="4">
        <v>2</v>
      </c>
      <c r="D1627" s="8">
        <v>1.59</v>
      </c>
      <c r="E1627" s="4">
        <v>1</v>
      </c>
      <c r="F1627" s="8">
        <v>1.08</v>
      </c>
      <c r="G1627" s="4">
        <v>1</v>
      </c>
      <c r="H1627" s="8">
        <v>3.45</v>
      </c>
      <c r="I1627" s="4">
        <v>0</v>
      </c>
    </row>
    <row r="1628" spans="1:9" x14ac:dyDescent="0.2">
      <c r="A1628" s="1"/>
      <c r="C1628" s="4"/>
      <c r="D1628" s="8"/>
      <c r="E1628" s="4"/>
      <c r="F1628" s="8"/>
      <c r="G1628" s="4"/>
      <c r="H1628" s="8"/>
      <c r="I1628" s="4"/>
    </row>
    <row r="1629" spans="1:9" x14ac:dyDescent="0.2">
      <c r="A1629" s="1" t="s">
        <v>70</v>
      </c>
      <c r="C1629" s="4"/>
      <c r="D1629" s="8"/>
      <c r="E1629" s="4"/>
      <c r="F1629" s="8"/>
      <c r="G1629" s="4"/>
      <c r="H1629" s="8"/>
      <c r="I1629" s="4"/>
    </row>
    <row r="1630" spans="1:9" x14ac:dyDescent="0.2">
      <c r="A1630" s="2">
        <v>1</v>
      </c>
      <c r="B1630" s="1" t="s">
        <v>152</v>
      </c>
      <c r="C1630" s="4">
        <v>4</v>
      </c>
      <c r="D1630" s="8">
        <v>9.3000000000000007</v>
      </c>
      <c r="E1630" s="4">
        <v>2</v>
      </c>
      <c r="F1630" s="8">
        <v>7.14</v>
      </c>
      <c r="G1630" s="4">
        <v>2</v>
      </c>
      <c r="H1630" s="8">
        <v>18.18</v>
      </c>
      <c r="I1630" s="4">
        <v>0</v>
      </c>
    </row>
    <row r="1631" spans="1:9" x14ac:dyDescent="0.2">
      <c r="A1631" s="2">
        <v>1</v>
      </c>
      <c r="B1631" s="1" t="s">
        <v>258</v>
      </c>
      <c r="C1631" s="4">
        <v>4</v>
      </c>
      <c r="D1631" s="8">
        <v>9.3000000000000007</v>
      </c>
      <c r="E1631" s="4">
        <v>4</v>
      </c>
      <c r="F1631" s="8">
        <v>14.29</v>
      </c>
      <c r="G1631" s="4">
        <v>0</v>
      </c>
      <c r="H1631" s="8">
        <v>0</v>
      </c>
      <c r="I1631" s="4">
        <v>0</v>
      </c>
    </row>
    <row r="1632" spans="1:9" x14ac:dyDescent="0.2">
      <c r="A1632" s="2">
        <v>3</v>
      </c>
      <c r="B1632" s="1" t="s">
        <v>249</v>
      </c>
      <c r="C1632" s="4">
        <v>3</v>
      </c>
      <c r="D1632" s="8">
        <v>6.98</v>
      </c>
      <c r="E1632" s="4">
        <v>2</v>
      </c>
      <c r="F1632" s="8">
        <v>7.14</v>
      </c>
      <c r="G1632" s="4">
        <v>1</v>
      </c>
      <c r="H1632" s="8">
        <v>9.09</v>
      </c>
      <c r="I1632" s="4">
        <v>0</v>
      </c>
    </row>
    <row r="1633" spans="1:9" x14ac:dyDescent="0.2">
      <c r="A1633" s="2">
        <v>4</v>
      </c>
      <c r="B1633" s="1" t="s">
        <v>268</v>
      </c>
      <c r="C1633" s="4">
        <v>2</v>
      </c>
      <c r="D1633" s="8">
        <v>4.6500000000000004</v>
      </c>
      <c r="E1633" s="4">
        <v>0</v>
      </c>
      <c r="F1633" s="8">
        <v>0</v>
      </c>
      <c r="G1633" s="4">
        <v>2</v>
      </c>
      <c r="H1633" s="8">
        <v>18.18</v>
      </c>
      <c r="I1633" s="4">
        <v>0</v>
      </c>
    </row>
    <row r="1634" spans="1:9" x14ac:dyDescent="0.2">
      <c r="A1634" s="2">
        <v>4</v>
      </c>
      <c r="B1634" s="1" t="s">
        <v>256</v>
      </c>
      <c r="C1634" s="4">
        <v>2</v>
      </c>
      <c r="D1634" s="8">
        <v>4.6500000000000004</v>
      </c>
      <c r="E1634" s="4">
        <v>2</v>
      </c>
      <c r="F1634" s="8">
        <v>7.14</v>
      </c>
      <c r="G1634" s="4">
        <v>0</v>
      </c>
      <c r="H1634" s="8">
        <v>0</v>
      </c>
      <c r="I1634" s="4">
        <v>0</v>
      </c>
    </row>
    <row r="1635" spans="1:9" x14ac:dyDescent="0.2">
      <c r="A1635" s="2">
        <v>4</v>
      </c>
      <c r="B1635" s="1" t="s">
        <v>218</v>
      </c>
      <c r="C1635" s="4">
        <v>2</v>
      </c>
      <c r="D1635" s="8">
        <v>4.6500000000000004</v>
      </c>
      <c r="E1635" s="4">
        <v>2</v>
      </c>
      <c r="F1635" s="8">
        <v>7.14</v>
      </c>
      <c r="G1635" s="4">
        <v>0</v>
      </c>
      <c r="H1635" s="8">
        <v>0</v>
      </c>
      <c r="I1635" s="4">
        <v>0</v>
      </c>
    </row>
    <row r="1636" spans="1:9" x14ac:dyDescent="0.2">
      <c r="A1636" s="2">
        <v>4</v>
      </c>
      <c r="B1636" s="1" t="s">
        <v>222</v>
      </c>
      <c r="C1636" s="4">
        <v>2</v>
      </c>
      <c r="D1636" s="8">
        <v>4.6500000000000004</v>
      </c>
      <c r="E1636" s="4">
        <v>2</v>
      </c>
      <c r="F1636" s="8">
        <v>7.14</v>
      </c>
      <c r="G1636" s="4">
        <v>0</v>
      </c>
      <c r="H1636" s="8">
        <v>0</v>
      </c>
      <c r="I1636" s="4">
        <v>0</v>
      </c>
    </row>
    <row r="1637" spans="1:9" x14ac:dyDescent="0.2">
      <c r="A1637" s="2">
        <v>4</v>
      </c>
      <c r="B1637" s="1" t="s">
        <v>273</v>
      </c>
      <c r="C1637" s="4">
        <v>2</v>
      </c>
      <c r="D1637" s="8">
        <v>4.6500000000000004</v>
      </c>
      <c r="E1637" s="4">
        <v>0</v>
      </c>
      <c r="F1637" s="8">
        <v>0</v>
      </c>
      <c r="G1637" s="4">
        <v>1</v>
      </c>
      <c r="H1637" s="8">
        <v>9.09</v>
      </c>
      <c r="I1637" s="4">
        <v>1</v>
      </c>
    </row>
    <row r="1638" spans="1:9" x14ac:dyDescent="0.2">
      <c r="A1638" s="2">
        <v>9</v>
      </c>
      <c r="B1638" s="1" t="s">
        <v>203</v>
      </c>
      <c r="C1638" s="4">
        <v>1</v>
      </c>
      <c r="D1638" s="8">
        <v>2.33</v>
      </c>
      <c r="E1638" s="4">
        <v>1</v>
      </c>
      <c r="F1638" s="8">
        <v>3.57</v>
      </c>
      <c r="G1638" s="4">
        <v>0</v>
      </c>
      <c r="H1638" s="8">
        <v>0</v>
      </c>
      <c r="I1638" s="4">
        <v>0</v>
      </c>
    </row>
    <row r="1639" spans="1:9" x14ac:dyDescent="0.2">
      <c r="A1639" s="2">
        <v>9</v>
      </c>
      <c r="B1639" s="1" t="s">
        <v>265</v>
      </c>
      <c r="C1639" s="4">
        <v>1</v>
      </c>
      <c r="D1639" s="8">
        <v>2.33</v>
      </c>
      <c r="E1639" s="4">
        <v>0</v>
      </c>
      <c r="F1639" s="8">
        <v>0</v>
      </c>
      <c r="G1639" s="4">
        <v>1</v>
      </c>
      <c r="H1639" s="8">
        <v>9.09</v>
      </c>
      <c r="I1639" s="4">
        <v>0</v>
      </c>
    </row>
    <row r="1640" spans="1:9" x14ac:dyDescent="0.2">
      <c r="A1640" s="2">
        <v>9</v>
      </c>
      <c r="B1640" s="1" t="s">
        <v>266</v>
      </c>
      <c r="C1640" s="4">
        <v>1</v>
      </c>
      <c r="D1640" s="8">
        <v>2.33</v>
      </c>
      <c r="E1640" s="4">
        <v>0</v>
      </c>
      <c r="F1640" s="8">
        <v>0</v>
      </c>
      <c r="G1640" s="4">
        <v>1</v>
      </c>
      <c r="H1640" s="8">
        <v>9.09</v>
      </c>
      <c r="I1640" s="4">
        <v>0</v>
      </c>
    </row>
    <row r="1641" spans="1:9" x14ac:dyDescent="0.2">
      <c r="A1641" s="2">
        <v>9</v>
      </c>
      <c r="B1641" s="1" t="s">
        <v>267</v>
      </c>
      <c r="C1641" s="4">
        <v>1</v>
      </c>
      <c r="D1641" s="8">
        <v>2.33</v>
      </c>
      <c r="E1641" s="4">
        <v>0</v>
      </c>
      <c r="F1641" s="8">
        <v>0</v>
      </c>
      <c r="G1641" s="4">
        <v>1</v>
      </c>
      <c r="H1641" s="8">
        <v>9.09</v>
      </c>
      <c r="I1641" s="4">
        <v>0</v>
      </c>
    </row>
    <row r="1642" spans="1:9" x14ac:dyDescent="0.2">
      <c r="A1642" s="2">
        <v>9</v>
      </c>
      <c r="B1642" s="1" t="s">
        <v>253</v>
      </c>
      <c r="C1642" s="4">
        <v>1</v>
      </c>
      <c r="D1642" s="8">
        <v>2.33</v>
      </c>
      <c r="E1642" s="4">
        <v>0</v>
      </c>
      <c r="F1642" s="8">
        <v>0</v>
      </c>
      <c r="G1642" s="4">
        <v>0</v>
      </c>
      <c r="H1642" s="8">
        <v>0</v>
      </c>
      <c r="I1642" s="4">
        <v>1</v>
      </c>
    </row>
    <row r="1643" spans="1:9" x14ac:dyDescent="0.2">
      <c r="A1643" s="2">
        <v>9</v>
      </c>
      <c r="B1643" s="1" t="s">
        <v>202</v>
      </c>
      <c r="C1643" s="4">
        <v>1</v>
      </c>
      <c r="D1643" s="8">
        <v>2.33</v>
      </c>
      <c r="E1643" s="4">
        <v>1</v>
      </c>
      <c r="F1643" s="8">
        <v>3.57</v>
      </c>
      <c r="G1643" s="4">
        <v>0</v>
      </c>
      <c r="H1643" s="8">
        <v>0</v>
      </c>
      <c r="I1643" s="4">
        <v>0</v>
      </c>
    </row>
    <row r="1644" spans="1:9" x14ac:dyDescent="0.2">
      <c r="A1644" s="2">
        <v>9</v>
      </c>
      <c r="B1644" s="1" t="s">
        <v>269</v>
      </c>
      <c r="C1644" s="4">
        <v>1</v>
      </c>
      <c r="D1644" s="8">
        <v>2.33</v>
      </c>
      <c r="E1644" s="4">
        <v>1</v>
      </c>
      <c r="F1644" s="8">
        <v>3.57</v>
      </c>
      <c r="G1644" s="4">
        <v>0</v>
      </c>
      <c r="H1644" s="8">
        <v>0</v>
      </c>
      <c r="I1644" s="4">
        <v>0</v>
      </c>
    </row>
    <row r="1645" spans="1:9" x14ac:dyDescent="0.2">
      <c r="A1645" s="2">
        <v>9</v>
      </c>
      <c r="B1645" s="1" t="s">
        <v>270</v>
      </c>
      <c r="C1645" s="4">
        <v>1</v>
      </c>
      <c r="D1645" s="8">
        <v>2.33</v>
      </c>
      <c r="E1645" s="4">
        <v>0</v>
      </c>
      <c r="F1645" s="8">
        <v>0</v>
      </c>
      <c r="G1645" s="4">
        <v>0</v>
      </c>
      <c r="H1645" s="8">
        <v>0</v>
      </c>
      <c r="I1645" s="4">
        <v>1</v>
      </c>
    </row>
    <row r="1646" spans="1:9" x14ac:dyDescent="0.2">
      <c r="A1646" s="2">
        <v>9</v>
      </c>
      <c r="B1646" s="1" t="s">
        <v>271</v>
      </c>
      <c r="C1646" s="4">
        <v>1</v>
      </c>
      <c r="D1646" s="8">
        <v>2.33</v>
      </c>
      <c r="E1646" s="4">
        <v>1</v>
      </c>
      <c r="F1646" s="8">
        <v>3.57</v>
      </c>
      <c r="G1646" s="4">
        <v>0</v>
      </c>
      <c r="H1646" s="8">
        <v>0</v>
      </c>
      <c r="I1646" s="4">
        <v>0</v>
      </c>
    </row>
    <row r="1647" spans="1:9" x14ac:dyDescent="0.2">
      <c r="A1647" s="2">
        <v>9</v>
      </c>
      <c r="B1647" s="1" t="s">
        <v>210</v>
      </c>
      <c r="C1647" s="4">
        <v>1</v>
      </c>
      <c r="D1647" s="8">
        <v>2.33</v>
      </c>
      <c r="E1647" s="4">
        <v>1</v>
      </c>
      <c r="F1647" s="8">
        <v>3.57</v>
      </c>
      <c r="G1647" s="4">
        <v>0</v>
      </c>
      <c r="H1647" s="8">
        <v>0</v>
      </c>
      <c r="I1647" s="4">
        <v>0</v>
      </c>
    </row>
    <row r="1648" spans="1:9" x14ac:dyDescent="0.2">
      <c r="A1648" s="2">
        <v>9</v>
      </c>
      <c r="B1648" s="1" t="s">
        <v>186</v>
      </c>
      <c r="C1648" s="4">
        <v>1</v>
      </c>
      <c r="D1648" s="8">
        <v>2.33</v>
      </c>
      <c r="E1648" s="4">
        <v>1</v>
      </c>
      <c r="F1648" s="8">
        <v>3.57</v>
      </c>
      <c r="G1648" s="4">
        <v>0</v>
      </c>
      <c r="H1648" s="8">
        <v>0</v>
      </c>
      <c r="I1648" s="4">
        <v>0</v>
      </c>
    </row>
    <row r="1649" spans="1:9" x14ac:dyDescent="0.2">
      <c r="A1649" s="2">
        <v>9</v>
      </c>
      <c r="B1649" s="1" t="s">
        <v>156</v>
      </c>
      <c r="C1649" s="4">
        <v>1</v>
      </c>
      <c r="D1649" s="8">
        <v>2.33</v>
      </c>
      <c r="E1649" s="4">
        <v>1</v>
      </c>
      <c r="F1649" s="8">
        <v>3.57</v>
      </c>
      <c r="G1649" s="4">
        <v>0</v>
      </c>
      <c r="H1649" s="8">
        <v>0</v>
      </c>
      <c r="I1649" s="4">
        <v>0</v>
      </c>
    </row>
    <row r="1650" spans="1:9" x14ac:dyDescent="0.2">
      <c r="A1650" s="2">
        <v>9</v>
      </c>
      <c r="B1650" s="1" t="s">
        <v>158</v>
      </c>
      <c r="C1650" s="4">
        <v>1</v>
      </c>
      <c r="D1650" s="8">
        <v>2.33</v>
      </c>
      <c r="E1650" s="4">
        <v>1</v>
      </c>
      <c r="F1650" s="8">
        <v>3.57</v>
      </c>
      <c r="G1650" s="4">
        <v>0</v>
      </c>
      <c r="H1650" s="8">
        <v>0</v>
      </c>
      <c r="I1650" s="4">
        <v>0</v>
      </c>
    </row>
    <row r="1651" spans="1:9" x14ac:dyDescent="0.2">
      <c r="A1651" s="2">
        <v>9</v>
      </c>
      <c r="B1651" s="1" t="s">
        <v>220</v>
      </c>
      <c r="C1651" s="4">
        <v>1</v>
      </c>
      <c r="D1651" s="8">
        <v>2.33</v>
      </c>
      <c r="E1651" s="4">
        <v>0</v>
      </c>
      <c r="F1651" s="8">
        <v>0</v>
      </c>
      <c r="G1651" s="4">
        <v>1</v>
      </c>
      <c r="H1651" s="8">
        <v>9.09</v>
      </c>
      <c r="I1651" s="4">
        <v>0</v>
      </c>
    </row>
    <row r="1652" spans="1:9" x14ac:dyDescent="0.2">
      <c r="A1652" s="2">
        <v>9</v>
      </c>
      <c r="B1652" s="1" t="s">
        <v>160</v>
      </c>
      <c r="C1652" s="4">
        <v>1</v>
      </c>
      <c r="D1652" s="8">
        <v>2.33</v>
      </c>
      <c r="E1652" s="4">
        <v>1</v>
      </c>
      <c r="F1652" s="8">
        <v>3.57</v>
      </c>
      <c r="G1652" s="4">
        <v>0</v>
      </c>
      <c r="H1652" s="8">
        <v>0</v>
      </c>
      <c r="I1652" s="4">
        <v>0</v>
      </c>
    </row>
    <row r="1653" spans="1:9" x14ac:dyDescent="0.2">
      <c r="A1653" s="2">
        <v>9</v>
      </c>
      <c r="B1653" s="1" t="s">
        <v>161</v>
      </c>
      <c r="C1653" s="4">
        <v>1</v>
      </c>
      <c r="D1653" s="8">
        <v>2.33</v>
      </c>
      <c r="E1653" s="4">
        <v>1</v>
      </c>
      <c r="F1653" s="8">
        <v>3.57</v>
      </c>
      <c r="G1653" s="4">
        <v>0</v>
      </c>
      <c r="H1653" s="8">
        <v>0</v>
      </c>
      <c r="I1653" s="4">
        <v>0</v>
      </c>
    </row>
    <row r="1654" spans="1:9" x14ac:dyDescent="0.2">
      <c r="A1654" s="2">
        <v>9</v>
      </c>
      <c r="B1654" s="1" t="s">
        <v>165</v>
      </c>
      <c r="C1654" s="4">
        <v>1</v>
      </c>
      <c r="D1654" s="8">
        <v>2.33</v>
      </c>
      <c r="E1654" s="4">
        <v>1</v>
      </c>
      <c r="F1654" s="8">
        <v>3.57</v>
      </c>
      <c r="G1654" s="4">
        <v>0</v>
      </c>
      <c r="H1654" s="8">
        <v>0</v>
      </c>
      <c r="I1654" s="4">
        <v>0</v>
      </c>
    </row>
    <row r="1655" spans="1:9" x14ac:dyDescent="0.2">
      <c r="A1655" s="2">
        <v>9</v>
      </c>
      <c r="B1655" s="1" t="s">
        <v>211</v>
      </c>
      <c r="C1655" s="4">
        <v>1</v>
      </c>
      <c r="D1655" s="8">
        <v>2.33</v>
      </c>
      <c r="E1655" s="4">
        <v>0</v>
      </c>
      <c r="F1655" s="8">
        <v>0</v>
      </c>
      <c r="G1655" s="4">
        <v>0</v>
      </c>
      <c r="H1655" s="8">
        <v>0</v>
      </c>
      <c r="I1655" s="4">
        <v>0</v>
      </c>
    </row>
    <row r="1656" spans="1:9" x14ac:dyDescent="0.2">
      <c r="A1656" s="2">
        <v>9</v>
      </c>
      <c r="B1656" s="1" t="s">
        <v>167</v>
      </c>
      <c r="C1656" s="4">
        <v>1</v>
      </c>
      <c r="D1656" s="8">
        <v>2.33</v>
      </c>
      <c r="E1656" s="4">
        <v>1</v>
      </c>
      <c r="F1656" s="8">
        <v>3.57</v>
      </c>
      <c r="G1656" s="4">
        <v>0</v>
      </c>
      <c r="H1656" s="8">
        <v>0</v>
      </c>
      <c r="I1656" s="4">
        <v>0</v>
      </c>
    </row>
    <row r="1657" spans="1:9" x14ac:dyDescent="0.2">
      <c r="A1657" s="2">
        <v>9</v>
      </c>
      <c r="B1657" s="1" t="s">
        <v>168</v>
      </c>
      <c r="C1657" s="4">
        <v>1</v>
      </c>
      <c r="D1657" s="8">
        <v>2.33</v>
      </c>
      <c r="E1657" s="4">
        <v>1</v>
      </c>
      <c r="F1657" s="8">
        <v>3.57</v>
      </c>
      <c r="G1657" s="4">
        <v>0</v>
      </c>
      <c r="H1657" s="8">
        <v>0</v>
      </c>
      <c r="I1657" s="4">
        <v>0</v>
      </c>
    </row>
    <row r="1658" spans="1:9" x14ac:dyDescent="0.2">
      <c r="A1658" s="2">
        <v>9</v>
      </c>
      <c r="B1658" s="1" t="s">
        <v>272</v>
      </c>
      <c r="C1658" s="4">
        <v>1</v>
      </c>
      <c r="D1658" s="8">
        <v>2.33</v>
      </c>
      <c r="E1658" s="4">
        <v>0</v>
      </c>
      <c r="F1658" s="8">
        <v>0</v>
      </c>
      <c r="G1658" s="4">
        <v>1</v>
      </c>
      <c r="H1658" s="8">
        <v>9.09</v>
      </c>
      <c r="I1658" s="4">
        <v>0</v>
      </c>
    </row>
    <row r="1659" spans="1:9" x14ac:dyDescent="0.2">
      <c r="A1659" s="2">
        <v>9</v>
      </c>
      <c r="B1659" s="1" t="s">
        <v>263</v>
      </c>
      <c r="C1659" s="4">
        <v>1</v>
      </c>
      <c r="D1659" s="8">
        <v>2.33</v>
      </c>
      <c r="E1659" s="4">
        <v>1</v>
      </c>
      <c r="F1659" s="8">
        <v>3.57</v>
      </c>
      <c r="G1659" s="4">
        <v>0</v>
      </c>
      <c r="H1659" s="8">
        <v>0</v>
      </c>
      <c r="I1659" s="4">
        <v>0</v>
      </c>
    </row>
    <row r="1660" spans="1:9" x14ac:dyDescent="0.2">
      <c r="A1660" s="1"/>
      <c r="C1660" s="4"/>
      <c r="D1660" s="8"/>
      <c r="E1660" s="4"/>
      <c r="F1660" s="8"/>
      <c r="G1660" s="4"/>
      <c r="H1660" s="8"/>
      <c r="I166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D1F8-3B5B-4718-911E-F067A679506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414</v>
      </c>
      <c r="D6" s="8">
        <v>13.6</v>
      </c>
      <c r="E6" s="12">
        <v>62</v>
      </c>
      <c r="F6" s="8">
        <v>5.96</v>
      </c>
      <c r="G6" s="12">
        <v>352</v>
      </c>
      <c r="H6" s="8">
        <v>17.64</v>
      </c>
      <c r="I6" s="12">
        <v>0</v>
      </c>
    </row>
    <row r="7" spans="2:9" ht="15" customHeight="1" x14ac:dyDescent="0.2">
      <c r="B7" t="s">
        <v>73</v>
      </c>
      <c r="C7" s="12">
        <v>578</v>
      </c>
      <c r="D7" s="8">
        <v>18.98</v>
      </c>
      <c r="E7" s="12">
        <v>107</v>
      </c>
      <c r="F7" s="8">
        <v>10.29</v>
      </c>
      <c r="G7" s="12">
        <v>471</v>
      </c>
      <c r="H7" s="8">
        <v>23.61</v>
      </c>
      <c r="I7" s="12">
        <v>0</v>
      </c>
    </row>
    <row r="8" spans="2:9" ht="15" customHeight="1" x14ac:dyDescent="0.2">
      <c r="B8" t="s">
        <v>74</v>
      </c>
      <c r="C8" s="12">
        <v>5</v>
      </c>
      <c r="D8" s="8">
        <v>0.16</v>
      </c>
      <c r="E8" s="12">
        <v>0</v>
      </c>
      <c r="F8" s="8">
        <v>0</v>
      </c>
      <c r="G8" s="12">
        <v>5</v>
      </c>
      <c r="H8" s="8">
        <v>0.25</v>
      </c>
      <c r="I8" s="12">
        <v>0</v>
      </c>
    </row>
    <row r="9" spans="2:9" ht="15" customHeight="1" x14ac:dyDescent="0.2">
      <c r="B9" t="s">
        <v>75</v>
      </c>
      <c r="C9" s="12">
        <v>24</v>
      </c>
      <c r="D9" s="8">
        <v>0.79</v>
      </c>
      <c r="E9" s="12">
        <v>0</v>
      </c>
      <c r="F9" s="8">
        <v>0</v>
      </c>
      <c r="G9" s="12">
        <v>24</v>
      </c>
      <c r="H9" s="8">
        <v>1.2</v>
      </c>
      <c r="I9" s="12">
        <v>0</v>
      </c>
    </row>
    <row r="10" spans="2:9" ht="15" customHeight="1" x14ac:dyDescent="0.2">
      <c r="B10" t="s">
        <v>76</v>
      </c>
      <c r="C10" s="12">
        <v>94</v>
      </c>
      <c r="D10" s="8">
        <v>3.09</v>
      </c>
      <c r="E10" s="12">
        <v>2</v>
      </c>
      <c r="F10" s="8">
        <v>0.19</v>
      </c>
      <c r="G10" s="12">
        <v>92</v>
      </c>
      <c r="H10" s="8">
        <v>4.6100000000000003</v>
      </c>
      <c r="I10" s="12">
        <v>0</v>
      </c>
    </row>
    <row r="11" spans="2:9" ht="15" customHeight="1" x14ac:dyDescent="0.2">
      <c r="B11" t="s">
        <v>77</v>
      </c>
      <c r="C11" s="12">
        <v>598</v>
      </c>
      <c r="D11" s="8">
        <v>19.64</v>
      </c>
      <c r="E11" s="12">
        <v>195</v>
      </c>
      <c r="F11" s="8">
        <v>18.75</v>
      </c>
      <c r="G11" s="12">
        <v>403</v>
      </c>
      <c r="H11" s="8">
        <v>20.2</v>
      </c>
      <c r="I11" s="12">
        <v>0</v>
      </c>
    </row>
    <row r="12" spans="2:9" ht="15" customHeight="1" x14ac:dyDescent="0.2">
      <c r="B12" t="s">
        <v>78</v>
      </c>
      <c r="C12" s="12">
        <v>16</v>
      </c>
      <c r="D12" s="8">
        <v>0.53</v>
      </c>
      <c r="E12" s="12">
        <v>0</v>
      </c>
      <c r="F12" s="8">
        <v>0</v>
      </c>
      <c r="G12" s="12">
        <v>16</v>
      </c>
      <c r="H12" s="8">
        <v>0.8</v>
      </c>
      <c r="I12" s="12">
        <v>0</v>
      </c>
    </row>
    <row r="13" spans="2:9" ht="15" customHeight="1" x14ac:dyDescent="0.2">
      <c r="B13" t="s">
        <v>79</v>
      </c>
      <c r="C13" s="12">
        <v>274</v>
      </c>
      <c r="D13" s="8">
        <v>9</v>
      </c>
      <c r="E13" s="12">
        <v>49</v>
      </c>
      <c r="F13" s="8">
        <v>4.71</v>
      </c>
      <c r="G13" s="12">
        <v>224</v>
      </c>
      <c r="H13" s="8">
        <v>11.23</v>
      </c>
      <c r="I13" s="12">
        <v>0</v>
      </c>
    </row>
    <row r="14" spans="2:9" ht="15" customHeight="1" x14ac:dyDescent="0.2">
      <c r="B14" t="s">
        <v>80</v>
      </c>
      <c r="C14" s="12">
        <v>138</v>
      </c>
      <c r="D14" s="8">
        <v>4.53</v>
      </c>
      <c r="E14" s="12">
        <v>61</v>
      </c>
      <c r="F14" s="8">
        <v>5.87</v>
      </c>
      <c r="G14" s="12">
        <v>76</v>
      </c>
      <c r="H14" s="8">
        <v>3.81</v>
      </c>
      <c r="I14" s="12">
        <v>1</v>
      </c>
    </row>
    <row r="15" spans="2:9" ht="15" customHeight="1" x14ac:dyDescent="0.2">
      <c r="B15" t="s">
        <v>81</v>
      </c>
      <c r="C15" s="12">
        <v>249</v>
      </c>
      <c r="D15" s="8">
        <v>8.18</v>
      </c>
      <c r="E15" s="12">
        <v>184</v>
      </c>
      <c r="F15" s="8">
        <v>17.690000000000001</v>
      </c>
      <c r="G15" s="12">
        <v>63</v>
      </c>
      <c r="H15" s="8">
        <v>3.16</v>
      </c>
      <c r="I15" s="12">
        <v>0</v>
      </c>
    </row>
    <row r="16" spans="2:9" ht="15" customHeight="1" x14ac:dyDescent="0.2">
      <c r="B16" t="s">
        <v>82</v>
      </c>
      <c r="C16" s="12">
        <v>272</v>
      </c>
      <c r="D16" s="8">
        <v>8.93</v>
      </c>
      <c r="E16" s="12">
        <v>178</v>
      </c>
      <c r="F16" s="8">
        <v>17.12</v>
      </c>
      <c r="G16" s="12">
        <v>93</v>
      </c>
      <c r="H16" s="8">
        <v>4.66</v>
      </c>
      <c r="I16" s="12">
        <v>1</v>
      </c>
    </row>
    <row r="17" spans="2:9" ht="15" customHeight="1" x14ac:dyDescent="0.2">
      <c r="B17" t="s">
        <v>83</v>
      </c>
      <c r="C17" s="12">
        <v>129</v>
      </c>
      <c r="D17" s="8">
        <v>4.24</v>
      </c>
      <c r="E17" s="12">
        <v>91</v>
      </c>
      <c r="F17" s="8">
        <v>8.75</v>
      </c>
      <c r="G17" s="12">
        <v>33</v>
      </c>
      <c r="H17" s="8">
        <v>1.65</v>
      </c>
      <c r="I17" s="12">
        <v>0</v>
      </c>
    </row>
    <row r="18" spans="2:9" ht="15" customHeight="1" x14ac:dyDescent="0.2">
      <c r="B18" t="s">
        <v>84</v>
      </c>
      <c r="C18" s="12">
        <v>107</v>
      </c>
      <c r="D18" s="8">
        <v>3.51</v>
      </c>
      <c r="E18" s="12">
        <v>70</v>
      </c>
      <c r="F18" s="8">
        <v>6.73</v>
      </c>
      <c r="G18" s="12">
        <v>37</v>
      </c>
      <c r="H18" s="8">
        <v>1.85</v>
      </c>
      <c r="I18" s="12">
        <v>0</v>
      </c>
    </row>
    <row r="19" spans="2:9" ht="15" customHeight="1" x14ac:dyDescent="0.2">
      <c r="B19" t="s">
        <v>85</v>
      </c>
      <c r="C19" s="12">
        <v>147</v>
      </c>
      <c r="D19" s="8">
        <v>4.83</v>
      </c>
      <c r="E19" s="12">
        <v>41</v>
      </c>
      <c r="F19" s="8">
        <v>3.94</v>
      </c>
      <c r="G19" s="12">
        <v>106</v>
      </c>
      <c r="H19" s="8">
        <v>5.31</v>
      </c>
      <c r="I19" s="12">
        <v>0</v>
      </c>
    </row>
    <row r="20" spans="2:9" ht="15" customHeight="1" x14ac:dyDescent="0.2">
      <c r="B20" s="9" t="s">
        <v>277</v>
      </c>
      <c r="C20" s="12">
        <f>SUM(LTBL_23219[総数／事業所数])</f>
        <v>3045</v>
      </c>
      <c r="E20" s="12">
        <f>SUBTOTAL(109,LTBL_23219[個人／事業所数])</f>
        <v>1040</v>
      </c>
      <c r="G20" s="12">
        <f>SUBTOTAL(109,LTBL_23219[法人／事業所数])</f>
        <v>1995</v>
      </c>
      <c r="I20" s="12">
        <f>SUBTOTAL(109,LTBL_23219[法人以外の団体／事業所数])</f>
        <v>2</v>
      </c>
    </row>
    <row r="21" spans="2:9" ht="15" customHeight="1" x14ac:dyDescent="0.2">
      <c r="E21" s="11">
        <f>LTBL_23219[[#Totals],[個人／事業所数]]/LTBL_23219[[#Totals],[総数／事業所数]]</f>
        <v>0.34154351395730709</v>
      </c>
      <c r="G21" s="11">
        <f>LTBL_23219[[#Totals],[法人／事業所数]]/LTBL_23219[[#Totals],[総数／事業所数]]</f>
        <v>0.65517241379310343</v>
      </c>
      <c r="I21" s="11">
        <f>LTBL_23219[[#Totals],[法人以外の団体／事業所数]]/LTBL_23219[[#Totals],[総数／事業所数]]</f>
        <v>6.5681444991789822E-4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220</v>
      </c>
      <c r="D24" s="8">
        <v>7.22</v>
      </c>
      <c r="E24" s="12">
        <v>180</v>
      </c>
      <c r="F24" s="8">
        <v>17.309999999999999</v>
      </c>
      <c r="G24" s="12">
        <v>40</v>
      </c>
      <c r="H24" s="8">
        <v>2.0099999999999998</v>
      </c>
      <c r="I24" s="12">
        <v>0</v>
      </c>
    </row>
    <row r="25" spans="2:9" ht="15" customHeight="1" x14ac:dyDescent="0.2">
      <c r="B25" t="s">
        <v>107</v>
      </c>
      <c r="C25" s="12">
        <v>218</v>
      </c>
      <c r="D25" s="8">
        <v>7.16</v>
      </c>
      <c r="E25" s="12">
        <v>47</v>
      </c>
      <c r="F25" s="8">
        <v>4.5199999999999996</v>
      </c>
      <c r="G25" s="12">
        <v>170</v>
      </c>
      <c r="H25" s="8">
        <v>8.52</v>
      </c>
      <c r="I25" s="12">
        <v>0</v>
      </c>
    </row>
    <row r="26" spans="2:9" ht="15" customHeight="1" x14ac:dyDescent="0.2">
      <c r="B26" t="s">
        <v>111</v>
      </c>
      <c r="C26" s="12">
        <v>218</v>
      </c>
      <c r="D26" s="8">
        <v>7.16</v>
      </c>
      <c r="E26" s="12">
        <v>162</v>
      </c>
      <c r="F26" s="8">
        <v>15.58</v>
      </c>
      <c r="G26" s="12">
        <v>56</v>
      </c>
      <c r="H26" s="8">
        <v>2.81</v>
      </c>
      <c r="I26" s="12">
        <v>0</v>
      </c>
    </row>
    <row r="27" spans="2:9" ht="15" customHeight="1" x14ac:dyDescent="0.2">
      <c r="B27" t="s">
        <v>94</v>
      </c>
      <c r="C27" s="12">
        <v>165</v>
      </c>
      <c r="D27" s="8">
        <v>5.42</v>
      </c>
      <c r="E27" s="12">
        <v>19</v>
      </c>
      <c r="F27" s="8">
        <v>1.83</v>
      </c>
      <c r="G27" s="12">
        <v>146</v>
      </c>
      <c r="H27" s="8">
        <v>7.32</v>
      </c>
      <c r="I27" s="12">
        <v>0</v>
      </c>
    </row>
    <row r="28" spans="2:9" ht="15" customHeight="1" x14ac:dyDescent="0.2">
      <c r="B28" t="s">
        <v>105</v>
      </c>
      <c r="C28" s="12">
        <v>134</v>
      </c>
      <c r="D28" s="8">
        <v>4.4000000000000004</v>
      </c>
      <c r="E28" s="12">
        <v>64</v>
      </c>
      <c r="F28" s="8">
        <v>6.15</v>
      </c>
      <c r="G28" s="12">
        <v>70</v>
      </c>
      <c r="H28" s="8">
        <v>3.51</v>
      </c>
      <c r="I28" s="12">
        <v>0</v>
      </c>
    </row>
    <row r="29" spans="2:9" ht="15" customHeight="1" x14ac:dyDescent="0.2">
      <c r="B29" t="s">
        <v>112</v>
      </c>
      <c r="C29" s="12">
        <v>129</v>
      </c>
      <c r="D29" s="8">
        <v>4.24</v>
      </c>
      <c r="E29" s="12">
        <v>91</v>
      </c>
      <c r="F29" s="8">
        <v>8.75</v>
      </c>
      <c r="G29" s="12">
        <v>33</v>
      </c>
      <c r="H29" s="8">
        <v>1.65</v>
      </c>
      <c r="I29" s="12">
        <v>0</v>
      </c>
    </row>
    <row r="30" spans="2:9" ht="15" customHeight="1" x14ac:dyDescent="0.2">
      <c r="B30" t="s">
        <v>95</v>
      </c>
      <c r="C30" s="12">
        <v>127</v>
      </c>
      <c r="D30" s="8">
        <v>4.17</v>
      </c>
      <c r="E30" s="12">
        <v>24</v>
      </c>
      <c r="F30" s="8">
        <v>2.31</v>
      </c>
      <c r="G30" s="12">
        <v>103</v>
      </c>
      <c r="H30" s="8">
        <v>5.16</v>
      </c>
      <c r="I30" s="12">
        <v>0</v>
      </c>
    </row>
    <row r="31" spans="2:9" ht="15" customHeight="1" x14ac:dyDescent="0.2">
      <c r="B31" t="s">
        <v>97</v>
      </c>
      <c r="C31" s="12">
        <v>124</v>
      </c>
      <c r="D31" s="8">
        <v>4.07</v>
      </c>
      <c r="E31" s="12">
        <v>22</v>
      </c>
      <c r="F31" s="8">
        <v>2.12</v>
      </c>
      <c r="G31" s="12">
        <v>102</v>
      </c>
      <c r="H31" s="8">
        <v>5.1100000000000003</v>
      </c>
      <c r="I31" s="12">
        <v>0</v>
      </c>
    </row>
    <row r="32" spans="2:9" ht="15" customHeight="1" x14ac:dyDescent="0.2">
      <c r="B32" t="s">
        <v>96</v>
      </c>
      <c r="C32" s="12">
        <v>122</v>
      </c>
      <c r="D32" s="8">
        <v>4.01</v>
      </c>
      <c r="E32" s="12">
        <v>19</v>
      </c>
      <c r="F32" s="8">
        <v>1.83</v>
      </c>
      <c r="G32" s="12">
        <v>103</v>
      </c>
      <c r="H32" s="8">
        <v>5.16</v>
      </c>
      <c r="I32" s="12">
        <v>0</v>
      </c>
    </row>
    <row r="33" spans="2:9" ht="15" customHeight="1" x14ac:dyDescent="0.2">
      <c r="B33" t="s">
        <v>98</v>
      </c>
      <c r="C33" s="12">
        <v>106</v>
      </c>
      <c r="D33" s="8">
        <v>3.48</v>
      </c>
      <c r="E33" s="12">
        <v>13</v>
      </c>
      <c r="F33" s="8">
        <v>1.25</v>
      </c>
      <c r="G33" s="12">
        <v>93</v>
      </c>
      <c r="H33" s="8">
        <v>4.66</v>
      </c>
      <c r="I33" s="12">
        <v>0</v>
      </c>
    </row>
    <row r="34" spans="2:9" ht="15" customHeight="1" x14ac:dyDescent="0.2">
      <c r="B34" t="s">
        <v>104</v>
      </c>
      <c r="C34" s="12">
        <v>106</v>
      </c>
      <c r="D34" s="8">
        <v>3.48</v>
      </c>
      <c r="E34" s="12">
        <v>44</v>
      </c>
      <c r="F34" s="8">
        <v>4.2300000000000004</v>
      </c>
      <c r="G34" s="12">
        <v>62</v>
      </c>
      <c r="H34" s="8">
        <v>3.11</v>
      </c>
      <c r="I34" s="12">
        <v>0</v>
      </c>
    </row>
    <row r="35" spans="2:9" ht="15" customHeight="1" x14ac:dyDescent="0.2">
      <c r="B35" t="s">
        <v>108</v>
      </c>
      <c r="C35" s="12">
        <v>86</v>
      </c>
      <c r="D35" s="8">
        <v>2.82</v>
      </c>
      <c r="E35" s="12">
        <v>46</v>
      </c>
      <c r="F35" s="8">
        <v>4.42</v>
      </c>
      <c r="G35" s="12">
        <v>39</v>
      </c>
      <c r="H35" s="8">
        <v>1.95</v>
      </c>
      <c r="I35" s="12">
        <v>1</v>
      </c>
    </row>
    <row r="36" spans="2:9" ht="15" customHeight="1" x14ac:dyDescent="0.2">
      <c r="B36" t="s">
        <v>113</v>
      </c>
      <c r="C36" s="12">
        <v>78</v>
      </c>
      <c r="D36" s="8">
        <v>2.56</v>
      </c>
      <c r="E36" s="12">
        <v>70</v>
      </c>
      <c r="F36" s="8">
        <v>6.73</v>
      </c>
      <c r="G36" s="12">
        <v>8</v>
      </c>
      <c r="H36" s="8">
        <v>0.4</v>
      </c>
      <c r="I36" s="12">
        <v>0</v>
      </c>
    </row>
    <row r="37" spans="2:9" ht="15" customHeight="1" x14ac:dyDescent="0.2">
      <c r="B37" t="s">
        <v>100</v>
      </c>
      <c r="C37" s="12">
        <v>66</v>
      </c>
      <c r="D37" s="8">
        <v>2.17</v>
      </c>
      <c r="E37" s="12">
        <v>7</v>
      </c>
      <c r="F37" s="8">
        <v>0.67</v>
      </c>
      <c r="G37" s="12">
        <v>59</v>
      </c>
      <c r="H37" s="8">
        <v>2.96</v>
      </c>
      <c r="I37" s="12">
        <v>0</v>
      </c>
    </row>
    <row r="38" spans="2:9" ht="15" customHeight="1" x14ac:dyDescent="0.2">
      <c r="B38" t="s">
        <v>103</v>
      </c>
      <c r="C38" s="12">
        <v>66</v>
      </c>
      <c r="D38" s="8">
        <v>2.17</v>
      </c>
      <c r="E38" s="12">
        <v>37</v>
      </c>
      <c r="F38" s="8">
        <v>3.56</v>
      </c>
      <c r="G38" s="12">
        <v>29</v>
      </c>
      <c r="H38" s="8">
        <v>1.45</v>
      </c>
      <c r="I38" s="12">
        <v>0</v>
      </c>
    </row>
    <row r="39" spans="2:9" ht="15" customHeight="1" x14ac:dyDescent="0.2">
      <c r="B39" t="s">
        <v>131</v>
      </c>
      <c r="C39" s="12">
        <v>64</v>
      </c>
      <c r="D39" s="8">
        <v>2.1</v>
      </c>
      <c r="E39" s="12">
        <v>5</v>
      </c>
      <c r="F39" s="8">
        <v>0.48</v>
      </c>
      <c r="G39" s="12">
        <v>59</v>
      </c>
      <c r="H39" s="8">
        <v>2.96</v>
      </c>
      <c r="I39" s="12">
        <v>0</v>
      </c>
    </row>
    <row r="40" spans="2:9" ht="15" customHeight="1" x14ac:dyDescent="0.2">
      <c r="B40" t="s">
        <v>99</v>
      </c>
      <c r="C40" s="12">
        <v>61</v>
      </c>
      <c r="D40" s="8">
        <v>2</v>
      </c>
      <c r="E40" s="12">
        <v>6</v>
      </c>
      <c r="F40" s="8">
        <v>0.57999999999999996</v>
      </c>
      <c r="G40" s="12">
        <v>55</v>
      </c>
      <c r="H40" s="8">
        <v>2.76</v>
      </c>
      <c r="I40" s="12">
        <v>0</v>
      </c>
    </row>
    <row r="41" spans="2:9" ht="15" customHeight="1" x14ac:dyDescent="0.2">
      <c r="B41" t="s">
        <v>101</v>
      </c>
      <c r="C41" s="12">
        <v>55</v>
      </c>
      <c r="D41" s="8">
        <v>1.81</v>
      </c>
      <c r="E41" s="12">
        <v>11</v>
      </c>
      <c r="F41" s="8">
        <v>1.06</v>
      </c>
      <c r="G41" s="12">
        <v>44</v>
      </c>
      <c r="H41" s="8">
        <v>2.21</v>
      </c>
      <c r="I41" s="12">
        <v>0</v>
      </c>
    </row>
    <row r="42" spans="2:9" ht="15" customHeight="1" x14ac:dyDescent="0.2">
      <c r="B42" t="s">
        <v>132</v>
      </c>
      <c r="C42" s="12">
        <v>54</v>
      </c>
      <c r="D42" s="8">
        <v>1.77</v>
      </c>
      <c r="E42" s="12">
        <v>2</v>
      </c>
      <c r="F42" s="8">
        <v>0.19</v>
      </c>
      <c r="G42" s="12">
        <v>52</v>
      </c>
      <c r="H42" s="8">
        <v>2.61</v>
      </c>
      <c r="I42" s="12">
        <v>0</v>
      </c>
    </row>
    <row r="43" spans="2:9" ht="15" customHeight="1" x14ac:dyDescent="0.2">
      <c r="B43" t="s">
        <v>109</v>
      </c>
      <c r="C43" s="12">
        <v>50</v>
      </c>
      <c r="D43" s="8">
        <v>1.64</v>
      </c>
      <c r="E43" s="12">
        <v>15</v>
      </c>
      <c r="F43" s="8">
        <v>1.44</v>
      </c>
      <c r="G43" s="12">
        <v>35</v>
      </c>
      <c r="H43" s="8">
        <v>1.75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103</v>
      </c>
      <c r="D47" s="8">
        <v>3.38</v>
      </c>
      <c r="E47" s="12">
        <v>84</v>
      </c>
      <c r="F47" s="8">
        <v>8.08</v>
      </c>
      <c r="G47" s="12">
        <v>19</v>
      </c>
      <c r="H47" s="8">
        <v>0.95</v>
      </c>
      <c r="I47" s="12">
        <v>0</v>
      </c>
    </row>
    <row r="48" spans="2:9" ht="15" customHeight="1" x14ac:dyDescent="0.2">
      <c r="B48" t="s">
        <v>160</v>
      </c>
      <c r="C48" s="12">
        <v>93</v>
      </c>
      <c r="D48" s="8">
        <v>3.05</v>
      </c>
      <c r="E48" s="12">
        <v>13</v>
      </c>
      <c r="F48" s="8">
        <v>1.25</v>
      </c>
      <c r="G48" s="12">
        <v>80</v>
      </c>
      <c r="H48" s="8">
        <v>4.01</v>
      </c>
      <c r="I48" s="12">
        <v>0</v>
      </c>
    </row>
    <row r="49" spans="2:9" ht="15" customHeight="1" x14ac:dyDescent="0.2">
      <c r="B49" t="s">
        <v>161</v>
      </c>
      <c r="C49" s="12">
        <v>90</v>
      </c>
      <c r="D49" s="8">
        <v>2.96</v>
      </c>
      <c r="E49" s="12">
        <v>29</v>
      </c>
      <c r="F49" s="8">
        <v>2.79</v>
      </c>
      <c r="G49" s="12">
        <v>61</v>
      </c>
      <c r="H49" s="8">
        <v>3.06</v>
      </c>
      <c r="I49" s="12">
        <v>0</v>
      </c>
    </row>
    <row r="50" spans="2:9" ht="15" customHeight="1" x14ac:dyDescent="0.2">
      <c r="B50" t="s">
        <v>170</v>
      </c>
      <c r="C50" s="12">
        <v>83</v>
      </c>
      <c r="D50" s="8">
        <v>2.73</v>
      </c>
      <c r="E50" s="12">
        <v>67</v>
      </c>
      <c r="F50" s="8">
        <v>6.44</v>
      </c>
      <c r="G50" s="12">
        <v>16</v>
      </c>
      <c r="H50" s="8">
        <v>0.8</v>
      </c>
      <c r="I50" s="12">
        <v>0</v>
      </c>
    </row>
    <row r="51" spans="2:9" ht="15" customHeight="1" x14ac:dyDescent="0.2">
      <c r="B51" t="s">
        <v>156</v>
      </c>
      <c r="C51" s="12">
        <v>79</v>
      </c>
      <c r="D51" s="8">
        <v>2.59</v>
      </c>
      <c r="E51" s="12">
        <v>29</v>
      </c>
      <c r="F51" s="8">
        <v>2.79</v>
      </c>
      <c r="G51" s="12">
        <v>50</v>
      </c>
      <c r="H51" s="8">
        <v>2.5099999999999998</v>
      </c>
      <c r="I51" s="12">
        <v>0</v>
      </c>
    </row>
    <row r="52" spans="2:9" ht="15" customHeight="1" x14ac:dyDescent="0.2">
      <c r="B52" t="s">
        <v>165</v>
      </c>
      <c r="C52" s="12">
        <v>67</v>
      </c>
      <c r="D52" s="8">
        <v>2.2000000000000002</v>
      </c>
      <c r="E52" s="12">
        <v>58</v>
      </c>
      <c r="F52" s="8">
        <v>5.58</v>
      </c>
      <c r="G52" s="12">
        <v>9</v>
      </c>
      <c r="H52" s="8">
        <v>0.45</v>
      </c>
      <c r="I52" s="12">
        <v>0</v>
      </c>
    </row>
    <row r="53" spans="2:9" ht="15" customHeight="1" x14ac:dyDescent="0.2">
      <c r="B53" t="s">
        <v>167</v>
      </c>
      <c r="C53" s="12">
        <v>67</v>
      </c>
      <c r="D53" s="8">
        <v>2.2000000000000002</v>
      </c>
      <c r="E53" s="12">
        <v>59</v>
      </c>
      <c r="F53" s="8">
        <v>5.67</v>
      </c>
      <c r="G53" s="12">
        <v>8</v>
      </c>
      <c r="H53" s="8">
        <v>0.4</v>
      </c>
      <c r="I53" s="12">
        <v>0</v>
      </c>
    </row>
    <row r="54" spans="2:9" ht="15" customHeight="1" x14ac:dyDescent="0.2">
      <c r="B54" t="s">
        <v>152</v>
      </c>
      <c r="C54" s="12">
        <v>60</v>
      </c>
      <c r="D54" s="8">
        <v>1.97</v>
      </c>
      <c r="E54" s="12">
        <v>6</v>
      </c>
      <c r="F54" s="8">
        <v>0.57999999999999996</v>
      </c>
      <c r="G54" s="12">
        <v>54</v>
      </c>
      <c r="H54" s="8">
        <v>2.71</v>
      </c>
      <c r="I54" s="12">
        <v>0</v>
      </c>
    </row>
    <row r="55" spans="2:9" ht="15" customHeight="1" x14ac:dyDescent="0.2">
      <c r="B55" t="s">
        <v>196</v>
      </c>
      <c r="C55" s="12">
        <v>58</v>
      </c>
      <c r="D55" s="8">
        <v>1.9</v>
      </c>
      <c r="E55" s="12">
        <v>12</v>
      </c>
      <c r="F55" s="8">
        <v>1.1499999999999999</v>
      </c>
      <c r="G55" s="12">
        <v>46</v>
      </c>
      <c r="H55" s="8">
        <v>2.31</v>
      </c>
      <c r="I55" s="12">
        <v>0</v>
      </c>
    </row>
    <row r="56" spans="2:9" ht="15" customHeight="1" x14ac:dyDescent="0.2">
      <c r="B56" t="s">
        <v>171</v>
      </c>
      <c r="C56" s="12">
        <v>55</v>
      </c>
      <c r="D56" s="8">
        <v>1.81</v>
      </c>
      <c r="E56" s="12">
        <v>52</v>
      </c>
      <c r="F56" s="8">
        <v>5</v>
      </c>
      <c r="G56" s="12">
        <v>3</v>
      </c>
      <c r="H56" s="8">
        <v>0.15</v>
      </c>
      <c r="I56" s="12">
        <v>0</v>
      </c>
    </row>
    <row r="57" spans="2:9" ht="15" customHeight="1" x14ac:dyDescent="0.2">
      <c r="B57" t="s">
        <v>201</v>
      </c>
      <c r="C57" s="12">
        <v>52</v>
      </c>
      <c r="D57" s="8">
        <v>1.71</v>
      </c>
      <c r="E57" s="12">
        <v>9</v>
      </c>
      <c r="F57" s="8">
        <v>0.87</v>
      </c>
      <c r="G57" s="12">
        <v>43</v>
      </c>
      <c r="H57" s="8">
        <v>2.16</v>
      </c>
      <c r="I57" s="12">
        <v>0</v>
      </c>
    </row>
    <row r="58" spans="2:9" ht="15" customHeight="1" x14ac:dyDescent="0.2">
      <c r="B58" t="s">
        <v>155</v>
      </c>
      <c r="C58" s="12">
        <v>49</v>
      </c>
      <c r="D58" s="8">
        <v>1.61</v>
      </c>
      <c r="E58" s="12">
        <v>6</v>
      </c>
      <c r="F58" s="8">
        <v>0.57999999999999996</v>
      </c>
      <c r="G58" s="12">
        <v>43</v>
      </c>
      <c r="H58" s="8">
        <v>2.16</v>
      </c>
      <c r="I58" s="12">
        <v>0</v>
      </c>
    </row>
    <row r="59" spans="2:9" ht="15" customHeight="1" x14ac:dyDescent="0.2">
      <c r="B59" t="s">
        <v>188</v>
      </c>
      <c r="C59" s="12">
        <v>49</v>
      </c>
      <c r="D59" s="8">
        <v>1.61</v>
      </c>
      <c r="E59" s="12">
        <v>30</v>
      </c>
      <c r="F59" s="8">
        <v>2.88</v>
      </c>
      <c r="G59" s="12">
        <v>19</v>
      </c>
      <c r="H59" s="8">
        <v>0.95</v>
      </c>
      <c r="I59" s="12">
        <v>0</v>
      </c>
    </row>
    <row r="60" spans="2:9" ht="15" customHeight="1" x14ac:dyDescent="0.2">
      <c r="B60" t="s">
        <v>158</v>
      </c>
      <c r="C60" s="12">
        <v>48</v>
      </c>
      <c r="D60" s="8">
        <v>1.58</v>
      </c>
      <c r="E60" s="12">
        <v>27</v>
      </c>
      <c r="F60" s="8">
        <v>2.6</v>
      </c>
      <c r="G60" s="12">
        <v>21</v>
      </c>
      <c r="H60" s="8">
        <v>1.05</v>
      </c>
      <c r="I60" s="12">
        <v>0</v>
      </c>
    </row>
    <row r="61" spans="2:9" ht="15" customHeight="1" x14ac:dyDescent="0.2">
      <c r="B61" t="s">
        <v>163</v>
      </c>
      <c r="C61" s="12">
        <v>46</v>
      </c>
      <c r="D61" s="8">
        <v>1.51</v>
      </c>
      <c r="E61" s="12">
        <v>34</v>
      </c>
      <c r="F61" s="8">
        <v>3.27</v>
      </c>
      <c r="G61" s="12">
        <v>12</v>
      </c>
      <c r="H61" s="8">
        <v>0.6</v>
      </c>
      <c r="I61" s="12">
        <v>0</v>
      </c>
    </row>
    <row r="62" spans="2:9" ht="15" customHeight="1" x14ac:dyDescent="0.2">
      <c r="B62" t="s">
        <v>164</v>
      </c>
      <c r="C62" s="12">
        <v>46</v>
      </c>
      <c r="D62" s="8">
        <v>1.51</v>
      </c>
      <c r="E62" s="12">
        <v>45</v>
      </c>
      <c r="F62" s="8">
        <v>4.33</v>
      </c>
      <c r="G62" s="12">
        <v>1</v>
      </c>
      <c r="H62" s="8">
        <v>0.05</v>
      </c>
      <c r="I62" s="12">
        <v>0</v>
      </c>
    </row>
    <row r="63" spans="2:9" ht="15" customHeight="1" x14ac:dyDescent="0.2">
      <c r="B63" t="s">
        <v>216</v>
      </c>
      <c r="C63" s="12">
        <v>45</v>
      </c>
      <c r="D63" s="8">
        <v>1.48</v>
      </c>
      <c r="E63" s="12">
        <v>1</v>
      </c>
      <c r="F63" s="8">
        <v>0.1</v>
      </c>
      <c r="G63" s="12">
        <v>44</v>
      </c>
      <c r="H63" s="8">
        <v>2.21</v>
      </c>
      <c r="I63" s="12">
        <v>0</v>
      </c>
    </row>
    <row r="64" spans="2:9" ht="15" customHeight="1" x14ac:dyDescent="0.2">
      <c r="B64" t="s">
        <v>154</v>
      </c>
      <c r="C64" s="12">
        <v>44</v>
      </c>
      <c r="D64" s="8">
        <v>1.44</v>
      </c>
      <c r="E64" s="12">
        <v>10</v>
      </c>
      <c r="F64" s="8">
        <v>0.96</v>
      </c>
      <c r="G64" s="12">
        <v>34</v>
      </c>
      <c r="H64" s="8">
        <v>1.7</v>
      </c>
      <c r="I64" s="12">
        <v>0</v>
      </c>
    </row>
    <row r="65" spans="2:9" ht="15" customHeight="1" x14ac:dyDescent="0.2">
      <c r="B65" t="s">
        <v>197</v>
      </c>
      <c r="C65" s="12">
        <v>38</v>
      </c>
      <c r="D65" s="8">
        <v>1.25</v>
      </c>
      <c r="E65" s="12">
        <v>2</v>
      </c>
      <c r="F65" s="8">
        <v>0.19</v>
      </c>
      <c r="G65" s="12">
        <v>36</v>
      </c>
      <c r="H65" s="8">
        <v>1.8</v>
      </c>
      <c r="I65" s="12">
        <v>0</v>
      </c>
    </row>
    <row r="66" spans="2:9" ht="15" customHeight="1" x14ac:dyDescent="0.2">
      <c r="B66" t="s">
        <v>172</v>
      </c>
      <c r="C66" s="12">
        <v>38</v>
      </c>
      <c r="D66" s="8">
        <v>1.25</v>
      </c>
      <c r="E66" s="12">
        <v>4</v>
      </c>
      <c r="F66" s="8">
        <v>0.38</v>
      </c>
      <c r="G66" s="12">
        <v>34</v>
      </c>
      <c r="H66" s="8">
        <v>1.7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A48-DA83-4D69-B4D5-43E9C65B078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316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305</v>
      </c>
      <c r="D6" s="8">
        <v>13.26</v>
      </c>
      <c r="E6" s="12">
        <v>66</v>
      </c>
      <c r="F6" s="8">
        <v>5.85</v>
      </c>
      <c r="G6" s="12">
        <v>239</v>
      </c>
      <c r="H6" s="8">
        <v>20.86</v>
      </c>
      <c r="I6" s="12">
        <v>0</v>
      </c>
    </row>
    <row r="7" spans="2:9" ht="15" customHeight="1" x14ac:dyDescent="0.2">
      <c r="B7" t="s">
        <v>73</v>
      </c>
      <c r="C7" s="12">
        <v>338</v>
      </c>
      <c r="D7" s="8">
        <v>14.69</v>
      </c>
      <c r="E7" s="12">
        <v>143</v>
      </c>
      <c r="F7" s="8">
        <v>12.67</v>
      </c>
      <c r="G7" s="12">
        <v>195</v>
      </c>
      <c r="H7" s="8">
        <v>17.02</v>
      </c>
      <c r="I7" s="12">
        <v>0</v>
      </c>
    </row>
    <row r="8" spans="2:9" ht="15" customHeight="1" x14ac:dyDescent="0.2">
      <c r="B8" t="s">
        <v>74</v>
      </c>
      <c r="C8" s="12">
        <v>10</v>
      </c>
      <c r="D8" s="8">
        <v>0.43</v>
      </c>
      <c r="E8" s="12">
        <v>0</v>
      </c>
      <c r="F8" s="8">
        <v>0</v>
      </c>
      <c r="G8" s="12">
        <v>10</v>
      </c>
      <c r="H8" s="8">
        <v>0.87</v>
      </c>
      <c r="I8" s="12">
        <v>0</v>
      </c>
    </row>
    <row r="9" spans="2:9" ht="15" customHeight="1" x14ac:dyDescent="0.2">
      <c r="B9" t="s">
        <v>75</v>
      </c>
      <c r="C9" s="12">
        <v>20</v>
      </c>
      <c r="D9" s="8">
        <v>0.87</v>
      </c>
      <c r="E9" s="12">
        <v>0</v>
      </c>
      <c r="F9" s="8">
        <v>0</v>
      </c>
      <c r="G9" s="12">
        <v>20</v>
      </c>
      <c r="H9" s="8">
        <v>1.75</v>
      </c>
      <c r="I9" s="12">
        <v>0</v>
      </c>
    </row>
    <row r="10" spans="2:9" ht="15" customHeight="1" x14ac:dyDescent="0.2">
      <c r="B10" t="s">
        <v>76</v>
      </c>
      <c r="C10" s="12">
        <v>22</v>
      </c>
      <c r="D10" s="8">
        <v>0.96</v>
      </c>
      <c r="E10" s="12">
        <v>2</v>
      </c>
      <c r="F10" s="8">
        <v>0.18</v>
      </c>
      <c r="G10" s="12">
        <v>20</v>
      </c>
      <c r="H10" s="8">
        <v>1.75</v>
      </c>
      <c r="I10" s="12">
        <v>0</v>
      </c>
    </row>
    <row r="11" spans="2:9" ht="15" customHeight="1" x14ac:dyDescent="0.2">
      <c r="B11" t="s">
        <v>77</v>
      </c>
      <c r="C11" s="12">
        <v>477</v>
      </c>
      <c r="D11" s="8">
        <v>20.73</v>
      </c>
      <c r="E11" s="12">
        <v>208</v>
      </c>
      <c r="F11" s="8">
        <v>18.420000000000002</v>
      </c>
      <c r="G11" s="12">
        <v>268</v>
      </c>
      <c r="H11" s="8">
        <v>23.39</v>
      </c>
      <c r="I11" s="12">
        <v>1</v>
      </c>
    </row>
    <row r="12" spans="2:9" ht="15" customHeight="1" x14ac:dyDescent="0.2">
      <c r="B12" t="s">
        <v>78</v>
      </c>
      <c r="C12" s="12">
        <v>10</v>
      </c>
      <c r="D12" s="8">
        <v>0.43</v>
      </c>
      <c r="E12" s="12">
        <v>1</v>
      </c>
      <c r="F12" s="8">
        <v>0.09</v>
      </c>
      <c r="G12" s="12">
        <v>9</v>
      </c>
      <c r="H12" s="8">
        <v>0.79</v>
      </c>
      <c r="I12" s="12">
        <v>0</v>
      </c>
    </row>
    <row r="13" spans="2:9" ht="15" customHeight="1" x14ac:dyDescent="0.2">
      <c r="B13" t="s">
        <v>79</v>
      </c>
      <c r="C13" s="12">
        <v>200</v>
      </c>
      <c r="D13" s="8">
        <v>8.69</v>
      </c>
      <c r="E13" s="12">
        <v>86</v>
      </c>
      <c r="F13" s="8">
        <v>7.62</v>
      </c>
      <c r="G13" s="12">
        <v>114</v>
      </c>
      <c r="H13" s="8">
        <v>9.9499999999999993</v>
      </c>
      <c r="I13" s="12">
        <v>0</v>
      </c>
    </row>
    <row r="14" spans="2:9" ht="15" customHeight="1" x14ac:dyDescent="0.2">
      <c r="B14" t="s">
        <v>80</v>
      </c>
      <c r="C14" s="12">
        <v>102</v>
      </c>
      <c r="D14" s="8">
        <v>4.43</v>
      </c>
      <c r="E14" s="12">
        <v>49</v>
      </c>
      <c r="F14" s="8">
        <v>4.34</v>
      </c>
      <c r="G14" s="12">
        <v>53</v>
      </c>
      <c r="H14" s="8">
        <v>4.62</v>
      </c>
      <c r="I14" s="12">
        <v>0</v>
      </c>
    </row>
    <row r="15" spans="2:9" ht="15" customHeight="1" x14ac:dyDescent="0.2">
      <c r="B15" t="s">
        <v>81</v>
      </c>
      <c r="C15" s="12">
        <v>253</v>
      </c>
      <c r="D15" s="8">
        <v>11</v>
      </c>
      <c r="E15" s="12">
        <v>193</v>
      </c>
      <c r="F15" s="8">
        <v>17.09</v>
      </c>
      <c r="G15" s="12">
        <v>58</v>
      </c>
      <c r="H15" s="8">
        <v>5.0599999999999996</v>
      </c>
      <c r="I15" s="12">
        <v>0</v>
      </c>
    </row>
    <row r="16" spans="2:9" ht="15" customHeight="1" x14ac:dyDescent="0.2">
      <c r="B16" t="s">
        <v>82</v>
      </c>
      <c r="C16" s="12">
        <v>249</v>
      </c>
      <c r="D16" s="8">
        <v>10.82</v>
      </c>
      <c r="E16" s="12">
        <v>191</v>
      </c>
      <c r="F16" s="8">
        <v>16.920000000000002</v>
      </c>
      <c r="G16" s="12">
        <v>58</v>
      </c>
      <c r="H16" s="8">
        <v>5.0599999999999996</v>
      </c>
      <c r="I16" s="12">
        <v>0</v>
      </c>
    </row>
    <row r="17" spans="2:9" ht="15" customHeight="1" x14ac:dyDescent="0.2">
      <c r="B17" t="s">
        <v>83</v>
      </c>
      <c r="C17" s="12">
        <v>104</v>
      </c>
      <c r="D17" s="8">
        <v>4.5199999999999996</v>
      </c>
      <c r="E17" s="12">
        <v>65</v>
      </c>
      <c r="F17" s="8">
        <v>5.76</v>
      </c>
      <c r="G17" s="12">
        <v>31</v>
      </c>
      <c r="H17" s="8">
        <v>2.71</v>
      </c>
      <c r="I17" s="12">
        <v>1</v>
      </c>
    </row>
    <row r="18" spans="2:9" ht="15" customHeight="1" x14ac:dyDescent="0.2">
      <c r="B18" t="s">
        <v>84</v>
      </c>
      <c r="C18" s="12">
        <v>141</v>
      </c>
      <c r="D18" s="8">
        <v>6.13</v>
      </c>
      <c r="E18" s="12">
        <v>88</v>
      </c>
      <c r="F18" s="8">
        <v>7.79</v>
      </c>
      <c r="G18" s="12">
        <v>40</v>
      </c>
      <c r="H18" s="8">
        <v>3.49</v>
      </c>
      <c r="I18" s="12">
        <v>0</v>
      </c>
    </row>
    <row r="19" spans="2:9" ht="15" customHeight="1" x14ac:dyDescent="0.2">
      <c r="B19" t="s">
        <v>85</v>
      </c>
      <c r="C19" s="12">
        <v>70</v>
      </c>
      <c r="D19" s="8">
        <v>3.04</v>
      </c>
      <c r="E19" s="12">
        <v>37</v>
      </c>
      <c r="F19" s="8">
        <v>3.28</v>
      </c>
      <c r="G19" s="12">
        <v>31</v>
      </c>
      <c r="H19" s="8">
        <v>2.71</v>
      </c>
      <c r="I19" s="12">
        <v>1</v>
      </c>
    </row>
    <row r="20" spans="2:9" ht="15" customHeight="1" x14ac:dyDescent="0.2">
      <c r="B20" s="9" t="s">
        <v>277</v>
      </c>
      <c r="C20" s="12">
        <f>SUM(LTBL_23220[総数／事業所数])</f>
        <v>2301</v>
      </c>
      <c r="E20" s="12">
        <f>SUBTOTAL(109,LTBL_23220[個人／事業所数])</f>
        <v>1129</v>
      </c>
      <c r="G20" s="12">
        <f>SUBTOTAL(109,LTBL_23220[法人／事業所数])</f>
        <v>1146</v>
      </c>
      <c r="I20" s="12">
        <f>SUBTOTAL(109,LTBL_23220[法人以外の団体／事業所数])</f>
        <v>3</v>
      </c>
    </row>
    <row r="21" spans="2:9" ht="15" customHeight="1" x14ac:dyDescent="0.2">
      <c r="E21" s="11">
        <f>LTBL_23220[[#Totals],[個人／事業所数]]/LTBL_23220[[#Totals],[総数／事業所数]]</f>
        <v>0.49065623641894829</v>
      </c>
      <c r="G21" s="11">
        <f>LTBL_23220[[#Totals],[法人／事業所数]]/LTBL_23220[[#Totals],[総数／事業所数]]</f>
        <v>0.49804432855280312</v>
      </c>
      <c r="I21" s="11">
        <f>LTBL_23220[[#Totals],[法人以外の団体／事業所数]]/LTBL_23220[[#Totals],[総数／事業所数]]</f>
        <v>1.3037809647979139E-3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227</v>
      </c>
      <c r="D24" s="8">
        <v>9.8699999999999992</v>
      </c>
      <c r="E24" s="12">
        <v>188</v>
      </c>
      <c r="F24" s="8">
        <v>16.649999999999999</v>
      </c>
      <c r="G24" s="12">
        <v>39</v>
      </c>
      <c r="H24" s="8">
        <v>3.4</v>
      </c>
      <c r="I24" s="12">
        <v>0</v>
      </c>
    </row>
    <row r="25" spans="2:9" ht="15" customHeight="1" x14ac:dyDescent="0.2">
      <c r="B25" t="s">
        <v>111</v>
      </c>
      <c r="C25" s="12">
        <v>207</v>
      </c>
      <c r="D25" s="8">
        <v>9</v>
      </c>
      <c r="E25" s="12">
        <v>173</v>
      </c>
      <c r="F25" s="8">
        <v>15.32</v>
      </c>
      <c r="G25" s="12">
        <v>34</v>
      </c>
      <c r="H25" s="8">
        <v>2.97</v>
      </c>
      <c r="I25" s="12">
        <v>0</v>
      </c>
    </row>
    <row r="26" spans="2:9" ht="15" customHeight="1" x14ac:dyDescent="0.2">
      <c r="B26" t="s">
        <v>107</v>
      </c>
      <c r="C26" s="12">
        <v>159</v>
      </c>
      <c r="D26" s="8">
        <v>6.91</v>
      </c>
      <c r="E26" s="12">
        <v>79</v>
      </c>
      <c r="F26" s="8">
        <v>7</v>
      </c>
      <c r="G26" s="12">
        <v>80</v>
      </c>
      <c r="H26" s="8">
        <v>6.98</v>
      </c>
      <c r="I26" s="12">
        <v>0</v>
      </c>
    </row>
    <row r="27" spans="2:9" ht="15" customHeight="1" x14ac:dyDescent="0.2">
      <c r="B27" t="s">
        <v>105</v>
      </c>
      <c r="C27" s="12">
        <v>134</v>
      </c>
      <c r="D27" s="8">
        <v>5.82</v>
      </c>
      <c r="E27" s="12">
        <v>63</v>
      </c>
      <c r="F27" s="8">
        <v>5.58</v>
      </c>
      <c r="G27" s="12">
        <v>70</v>
      </c>
      <c r="H27" s="8">
        <v>6.11</v>
      </c>
      <c r="I27" s="12">
        <v>1</v>
      </c>
    </row>
    <row r="28" spans="2:9" ht="15" customHeight="1" x14ac:dyDescent="0.2">
      <c r="B28" t="s">
        <v>94</v>
      </c>
      <c r="C28" s="12">
        <v>132</v>
      </c>
      <c r="D28" s="8">
        <v>5.74</v>
      </c>
      <c r="E28" s="12">
        <v>26</v>
      </c>
      <c r="F28" s="8">
        <v>2.2999999999999998</v>
      </c>
      <c r="G28" s="12">
        <v>106</v>
      </c>
      <c r="H28" s="8">
        <v>9.25</v>
      </c>
      <c r="I28" s="12">
        <v>0</v>
      </c>
    </row>
    <row r="29" spans="2:9" ht="15" customHeight="1" x14ac:dyDescent="0.2">
      <c r="B29" t="s">
        <v>95</v>
      </c>
      <c r="C29" s="12">
        <v>105</v>
      </c>
      <c r="D29" s="8">
        <v>4.5599999999999996</v>
      </c>
      <c r="E29" s="12">
        <v>27</v>
      </c>
      <c r="F29" s="8">
        <v>2.39</v>
      </c>
      <c r="G29" s="12">
        <v>78</v>
      </c>
      <c r="H29" s="8">
        <v>6.81</v>
      </c>
      <c r="I29" s="12">
        <v>0</v>
      </c>
    </row>
    <row r="30" spans="2:9" ht="15" customHeight="1" x14ac:dyDescent="0.2">
      <c r="B30" t="s">
        <v>112</v>
      </c>
      <c r="C30" s="12">
        <v>104</v>
      </c>
      <c r="D30" s="8">
        <v>4.5199999999999996</v>
      </c>
      <c r="E30" s="12">
        <v>65</v>
      </c>
      <c r="F30" s="8">
        <v>5.76</v>
      </c>
      <c r="G30" s="12">
        <v>31</v>
      </c>
      <c r="H30" s="8">
        <v>2.71</v>
      </c>
      <c r="I30" s="12">
        <v>1</v>
      </c>
    </row>
    <row r="31" spans="2:9" ht="15" customHeight="1" x14ac:dyDescent="0.2">
      <c r="B31" t="s">
        <v>113</v>
      </c>
      <c r="C31" s="12">
        <v>102</v>
      </c>
      <c r="D31" s="8">
        <v>4.43</v>
      </c>
      <c r="E31" s="12">
        <v>88</v>
      </c>
      <c r="F31" s="8">
        <v>7.79</v>
      </c>
      <c r="G31" s="12">
        <v>14</v>
      </c>
      <c r="H31" s="8">
        <v>1.22</v>
      </c>
      <c r="I31" s="12">
        <v>0</v>
      </c>
    </row>
    <row r="32" spans="2:9" ht="15" customHeight="1" x14ac:dyDescent="0.2">
      <c r="B32" t="s">
        <v>125</v>
      </c>
      <c r="C32" s="12">
        <v>94</v>
      </c>
      <c r="D32" s="8">
        <v>4.09</v>
      </c>
      <c r="E32" s="12">
        <v>58</v>
      </c>
      <c r="F32" s="8">
        <v>5.14</v>
      </c>
      <c r="G32" s="12">
        <v>36</v>
      </c>
      <c r="H32" s="8">
        <v>3.14</v>
      </c>
      <c r="I32" s="12">
        <v>0</v>
      </c>
    </row>
    <row r="33" spans="2:9" ht="15" customHeight="1" x14ac:dyDescent="0.2">
      <c r="B33" t="s">
        <v>104</v>
      </c>
      <c r="C33" s="12">
        <v>82</v>
      </c>
      <c r="D33" s="8">
        <v>3.56</v>
      </c>
      <c r="E33" s="12">
        <v>36</v>
      </c>
      <c r="F33" s="8">
        <v>3.19</v>
      </c>
      <c r="G33" s="12">
        <v>46</v>
      </c>
      <c r="H33" s="8">
        <v>4.01</v>
      </c>
      <c r="I33" s="12">
        <v>0</v>
      </c>
    </row>
    <row r="34" spans="2:9" ht="15" customHeight="1" x14ac:dyDescent="0.2">
      <c r="B34" t="s">
        <v>103</v>
      </c>
      <c r="C34" s="12">
        <v>70</v>
      </c>
      <c r="D34" s="8">
        <v>3.04</v>
      </c>
      <c r="E34" s="12">
        <v>44</v>
      </c>
      <c r="F34" s="8">
        <v>3.9</v>
      </c>
      <c r="G34" s="12">
        <v>26</v>
      </c>
      <c r="H34" s="8">
        <v>2.27</v>
      </c>
      <c r="I34" s="12">
        <v>0</v>
      </c>
    </row>
    <row r="35" spans="2:9" ht="15" customHeight="1" x14ac:dyDescent="0.2">
      <c r="B35" t="s">
        <v>108</v>
      </c>
      <c r="C35" s="12">
        <v>69</v>
      </c>
      <c r="D35" s="8">
        <v>3</v>
      </c>
      <c r="E35" s="12">
        <v>35</v>
      </c>
      <c r="F35" s="8">
        <v>3.1</v>
      </c>
      <c r="G35" s="12">
        <v>34</v>
      </c>
      <c r="H35" s="8">
        <v>2.97</v>
      </c>
      <c r="I35" s="12">
        <v>0</v>
      </c>
    </row>
    <row r="36" spans="2:9" ht="15" customHeight="1" x14ac:dyDescent="0.2">
      <c r="B36" t="s">
        <v>96</v>
      </c>
      <c r="C36" s="12">
        <v>68</v>
      </c>
      <c r="D36" s="8">
        <v>2.96</v>
      </c>
      <c r="E36" s="12">
        <v>13</v>
      </c>
      <c r="F36" s="8">
        <v>1.1499999999999999</v>
      </c>
      <c r="G36" s="12">
        <v>55</v>
      </c>
      <c r="H36" s="8">
        <v>4.8</v>
      </c>
      <c r="I36" s="12">
        <v>0</v>
      </c>
    </row>
    <row r="37" spans="2:9" ht="15" customHeight="1" x14ac:dyDescent="0.2">
      <c r="B37" t="s">
        <v>101</v>
      </c>
      <c r="C37" s="12">
        <v>60</v>
      </c>
      <c r="D37" s="8">
        <v>2.61</v>
      </c>
      <c r="E37" s="12">
        <v>24</v>
      </c>
      <c r="F37" s="8">
        <v>2.13</v>
      </c>
      <c r="G37" s="12">
        <v>36</v>
      </c>
      <c r="H37" s="8">
        <v>3.14</v>
      </c>
      <c r="I37" s="12">
        <v>0</v>
      </c>
    </row>
    <row r="38" spans="2:9" ht="15" customHeight="1" x14ac:dyDescent="0.2">
      <c r="B38" t="s">
        <v>102</v>
      </c>
      <c r="C38" s="12">
        <v>51</v>
      </c>
      <c r="D38" s="8">
        <v>2.2200000000000002</v>
      </c>
      <c r="E38" s="12">
        <v>28</v>
      </c>
      <c r="F38" s="8">
        <v>2.48</v>
      </c>
      <c r="G38" s="12">
        <v>23</v>
      </c>
      <c r="H38" s="8">
        <v>2.0099999999999998</v>
      </c>
      <c r="I38" s="12">
        <v>0</v>
      </c>
    </row>
    <row r="39" spans="2:9" ht="15" customHeight="1" x14ac:dyDescent="0.2">
      <c r="B39" t="s">
        <v>116</v>
      </c>
      <c r="C39" s="12">
        <v>39</v>
      </c>
      <c r="D39" s="8">
        <v>1.69</v>
      </c>
      <c r="E39" s="12">
        <v>0</v>
      </c>
      <c r="F39" s="8">
        <v>0</v>
      </c>
      <c r="G39" s="12">
        <v>26</v>
      </c>
      <c r="H39" s="8">
        <v>2.27</v>
      </c>
      <c r="I39" s="12">
        <v>0</v>
      </c>
    </row>
    <row r="40" spans="2:9" ht="15" customHeight="1" x14ac:dyDescent="0.2">
      <c r="B40" t="s">
        <v>122</v>
      </c>
      <c r="C40" s="12">
        <v>39</v>
      </c>
      <c r="D40" s="8">
        <v>1.69</v>
      </c>
      <c r="E40" s="12">
        <v>30</v>
      </c>
      <c r="F40" s="8">
        <v>2.66</v>
      </c>
      <c r="G40" s="12">
        <v>9</v>
      </c>
      <c r="H40" s="8">
        <v>0.79</v>
      </c>
      <c r="I40" s="12">
        <v>0</v>
      </c>
    </row>
    <row r="41" spans="2:9" ht="15" customHeight="1" x14ac:dyDescent="0.2">
      <c r="B41" t="s">
        <v>98</v>
      </c>
      <c r="C41" s="12">
        <v>33</v>
      </c>
      <c r="D41" s="8">
        <v>1.43</v>
      </c>
      <c r="E41" s="12">
        <v>7</v>
      </c>
      <c r="F41" s="8">
        <v>0.62</v>
      </c>
      <c r="G41" s="12">
        <v>26</v>
      </c>
      <c r="H41" s="8">
        <v>2.27</v>
      </c>
      <c r="I41" s="12">
        <v>0</v>
      </c>
    </row>
    <row r="42" spans="2:9" ht="15" customHeight="1" x14ac:dyDescent="0.2">
      <c r="B42" t="s">
        <v>106</v>
      </c>
      <c r="C42" s="12">
        <v>31</v>
      </c>
      <c r="D42" s="8">
        <v>1.35</v>
      </c>
      <c r="E42" s="12">
        <v>7</v>
      </c>
      <c r="F42" s="8">
        <v>0.62</v>
      </c>
      <c r="G42" s="12">
        <v>24</v>
      </c>
      <c r="H42" s="8">
        <v>2.09</v>
      </c>
      <c r="I42" s="12">
        <v>0</v>
      </c>
    </row>
    <row r="43" spans="2:9" ht="15" customHeight="1" x14ac:dyDescent="0.2">
      <c r="B43" t="s">
        <v>109</v>
      </c>
      <c r="C43" s="12">
        <v>30</v>
      </c>
      <c r="D43" s="8">
        <v>1.3</v>
      </c>
      <c r="E43" s="12">
        <v>14</v>
      </c>
      <c r="F43" s="8">
        <v>1.24</v>
      </c>
      <c r="G43" s="12">
        <v>16</v>
      </c>
      <c r="H43" s="8">
        <v>1.4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106</v>
      </c>
      <c r="D47" s="8">
        <v>4.6100000000000003</v>
      </c>
      <c r="E47" s="12">
        <v>60</v>
      </c>
      <c r="F47" s="8">
        <v>5.31</v>
      </c>
      <c r="G47" s="12">
        <v>46</v>
      </c>
      <c r="H47" s="8">
        <v>4.01</v>
      </c>
      <c r="I47" s="12">
        <v>0</v>
      </c>
    </row>
    <row r="48" spans="2:9" ht="15" customHeight="1" x14ac:dyDescent="0.2">
      <c r="B48" t="s">
        <v>168</v>
      </c>
      <c r="C48" s="12">
        <v>100</v>
      </c>
      <c r="D48" s="8">
        <v>4.3499999999999996</v>
      </c>
      <c r="E48" s="12">
        <v>89</v>
      </c>
      <c r="F48" s="8">
        <v>7.88</v>
      </c>
      <c r="G48" s="12">
        <v>11</v>
      </c>
      <c r="H48" s="8">
        <v>0.96</v>
      </c>
      <c r="I48" s="12">
        <v>0</v>
      </c>
    </row>
    <row r="49" spans="2:9" ht="15" customHeight="1" x14ac:dyDescent="0.2">
      <c r="B49" t="s">
        <v>165</v>
      </c>
      <c r="C49" s="12">
        <v>81</v>
      </c>
      <c r="D49" s="8">
        <v>3.52</v>
      </c>
      <c r="E49" s="12">
        <v>75</v>
      </c>
      <c r="F49" s="8">
        <v>6.64</v>
      </c>
      <c r="G49" s="12">
        <v>6</v>
      </c>
      <c r="H49" s="8">
        <v>0.52</v>
      </c>
      <c r="I49" s="12">
        <v>0</v>
      </c>
    </row>
    <row r="50" spans="2:9" ht="15" customHeight="1" x14ac:dyDescent="0.2">
      <c r="B50" t="s">
        <v>163</v>
      </c>
      <c r="C50" s="12">
        <v>72</v>
      </c>
      <c r="D50" s="8">
        <v>3.13</v>
      </c>
      <c r="E50" s="12">
        <v>52</v>
      </c>
      <c r="F50" s="8">
        <v>4.6100000000000003</v>
      </c>
      <c r="G50" s="12">
        <v>20</v>
      </c>
      <c r="H50" s="8">
        <v>1.75</v>
      </c>
      <c r="I50" s="12">
        <v>0</v>
      </c>
    </row>
    <row r="51" spans="2:9" ht="15" customHeight="1" x14ac:dyDescent="0.2">
      <c r="B51" t="s">
        <v>171</v>
      </c>
      <c r="C51" s="12">
        <v>69</v>
      </c>
      <c r="D51" s="8">
        <v>3</v>
      </c>
      <c r="E51" s="12">
        <v>63</v>
      </c>
      <c r="F51" s="8">
        <v>5.58</v>
      </c>
      <c r="G51" s="12">
        <v>6</v>
      </c>
      <c r="H51" s="8">
        <v>0.52</v>
      </c>
      <c r="I51" s="12">
        <v>0</v>
      </c>
    </row>
    <row r="52" spans="2:9" ht="15" customHeight="1" x14ac:dyDescent="0.2">
      <c r="B52" t="s">
        <v>170</v>
      </c>
      <c r="C52" s="12">
        <v>67</v>
      </c>
      <c r="D52" s="8">
        <v>2.91</v>
      </c>
      <c r="E52" s="12">
        <v>43</v>
      </c>
      <c r="F52" s="8">
        <v>3.81</v>
      </c>
      <c r="G52" s="12">
        <v>23</v>
      </c>
      <c r="H52" s="8">
        <v>2.0099999999999998</v>
      </c>
      <c r="I52" s="12">
        <v>1</v>
      </c>
    </row>
    <row r="53" spans="2:9" ht="15" customHeight="1" x14ac:dyDescent="0.2">
      <c r="B53" t="s">
        <v>167</v>
      </c>
      <c r="C53" s="12">
        <v>66</v>
      </c>
      <c r="D53" s="8">
        <v>2.87</v>
      </c>
      <c r="E53" s="12">
        <v>63</v>
      </c>
      <c r="F53" s="8">
        <v>5.58</v>
      </c>
      <c r="G53" s="12">
        <v>3</v>
      </c>
      <c r="H53" s="8">
        <v>0.26</v>
      </c>
      <c r="I53" s="12">
        <v>0</v>
      </c>
    </row>
    <row r="54" spans="2:9" ht="15" customHeight="1" x14ac:dyDescent="0.2">
      <c r="B54" t="s">
        <v>152</v>
      </c>
      <c r="C54" s="12">
        <v>56</v>
      </c>
      <c r="D54" s="8">
        <v>2.4300000000000002</v>
      </c>
      <c r="E54" s="12">
        <v>8</v>
      </c>
      <c r="F54" s="8">
        <v>0.71</v>
      </c>
      <c r="G54" s="12">
        <v>48</v>
      </c>
      <c r="H54" s="8">
        <v>4.1900000000000004</v>
      </c>
      <c r="I54" s="12">
        <v>0</v>
      </c>
    </row>
    <row r="55" spans="2:9" ht="15" customHeight="1" x14ac:dyDescent="0.2">
      <c r="B55" t="s">
        <v>173</v>
      </c>
      <c r="C55" s="12">
        <v>48</v>
      </c>
      <c r="D55" s="8">
        <v>2.09</v>
      </c>
      <c r="E55" s="12">
        <v>18</v>
      </c>
      <c r="F55" s="8">
        <v>1.59</v>
      </c>
      <c r="G55" s="12">
        <v>30</v>
      </c>
      <c r="H55" s="8">
        <v>2.62</v>
      </c>
      <c r="I55" s="12">
        <v>0</v>
      </c>
    </row>
    <row r="56" spans="2:9" ht="15" customHeight="1" x14ac:dyDescent="0.2">
      <c r="B56" t="s">
        <v>158</v>
      </c>
      <c r="C56" s="12">
        <v>41</v>
      </c>
      <c r="D56" s="8">
        <v>1.78</v>
      </c>
      <c r="E56" s="12">
        <v>24</v>
      </c>
      <c r="F56" s="8">
        <v>2.13</v>
      </c>
      <c r="G56" s="12">
        <v>16</v>
      </c>
      <c r="H56" s="8">
        <v>1.4</v>
      </c>
      <c r="I56" s="12">
        <v>1</v>
      </c>
    </row>
    <row r="57" spans="2:9" ht="15" customHeight="1" x14ac:dyDescent="0.2">
      <c r="B57" t="s">
        <v>156</v>
      </c>
      <c r="C57" s="12">
        <v>40</v>
      </c>
      <c r="D57" s="8">
        <v>1.74</v>
      </c>
      <c r="E57" s="12">
        <v>17</v>
      </c>
      <c r="F57" s="8">
        <v>1.51</v>
      </c>
      <c r="G57" s="12">
        <v>23</v>
      </c>
      <c r="H57" s="8">
        <v>2.0099999999999998</v>
      </c>
      <c r="I57" s="12">
        <v>0</v>
      </c>
    </row>
    <row r="58" spans="2:9" ht="15" customHeight="1" x14ac:dyDescent="0.2">
      <c r="B58" t="s">
        <v>188</v>
      </c>
      <c r="C58" s="12">
        <v>39</v>
      </c>
      <c r="D58" s="8">
        <v>1.69</v>
      </c>
      <c r="E58" s="12">
        <v>30</v>
      </c>
      <c r="F58" s="8">
        <v>2.66</v>
      </c>
      <c r="G58" s="12">
        <v>9</v>
      </c>
      <c r="H58" s="8">
        <v>0.79</v>
      </c>
      <c r="I58" s="12">
        <v>0</v>
      </c>
    </row>
    <row r="59" spans="2:9" ht="15" customHeight="1" x14ac:dyDescent="0.2">
      <c r="B59" t="s">
        <v>164</v>
      </c>
      <c r="C59" s="12">
        <v>37</v>
      </c>
      <c r="D59" s="8">
        <v>1.61</v>
      </c>
      <c r="E59" s="12">
        <v>36</v>
      </c>
      <c r="F59" s="8">
        <v>3.19</v>
      </c>
      <c r="G59" s="12">
        <v>1</v>
      </c>
      <c r="H59" s="8">
        <v>0.09</v>
      </c>
      <c r="I59" s="12">
        <v>0</v>
      </c>
    </row>
    <row r="60" spans="2:9" ht="15" customHeight="1" x14ac:dyDescent="0.2">
      <c r="B60" t="s">
        <v>154</v>
      </c>
      <c r="C60" s="12">
        <v>33</v>
      </c>
      <c r="D60" s="8">
        <v>1.43</v>
      </c>
      <c r="E60" s="12">
        <v>8</v>
      </c>
      <c r="F60" s="8">
        <v>0.71</v>
      </c>
      <c r="G60" s="12">
        <v>25</v>
      </c>
      <c r="H60" s="8">
        <v>2.1800000000000002</v>
      </c>
      <c r="I60" s="12">
        <v>0</v>
      </c>
    </row>
    <row r="61" spans="2:9" ht="15" customHeight="1" x14ac:dyDescent="0.2">
      <c r="B61" t="s">
        <v>198</v>
      </c>
      <c r="C61" s="12">
        <v>33</v>
      </c>
      <c r="D61" s="8">
        <v>1.43</v>
      </c>
      <c r="E61" s="12">
        <v>11</v>
      </c>
      <c r="F61" s="8">
        <v>0.97</v>
      </c>
      <c r="G61" s="12">
        <v>22</v>
      </c>
      <c r="H61" s="8">
        <v>1.92</v>
      </c>
      <c r="I61" s="12">
        <v>0</v>
      </c>
    </row>
    <row r="62" spans="2:9" ht="15" customHeight="1" x14ac:dyDescent="0.2">
      <c r="B62" t="s">
        <v>206</v>
      </c>
      <c r="C62" s="12">
        <v>30</v>
      </c>
      <c r="D62" s="8">
        <v>1.3</v>
      </c>
      <c r="E62" s="12">
        <v>18</v>
      </c>
      <c r="F62" s="8">
        <v>1.59</v>
      </c>
      <c r="G62" s="12">
        <v>12</v>
      </c>
      <c r="H62" s="8">
        <v>1.05</v>
      </c>
      <c r="I62" s="12">
        <v>0</v>
      </c>
    </row>
    <row r="63" spans="2:9" ht="15" customHeight="1" x14ac:dyDescent="0.2">
      <c r="B63" t="s">
        <v>166</v>
      </c>
      <c r="C63" s="12">
        <v>30</v>
      </c>
      <c r="D63" s="8">
        <v>1.3</v>
      </c>
      <c r="E63" s="12">
        <v>15</v>
      </c>
      <c r="F63" s="8">
        <v>1.33</v>
      </c>
      <c r="G63" s="12">
        <v>15</v>
      </c>
      <c r="H63" s="8">
        <v>1.31</v>
      </c>
      <c r="I63" s="12">
        <v>0</v>
      </c>
    </row>
    <row r="64" spans="2:9" ht="15" customHeight="1" x14ac:dyDescent="0.2">
      <c r="B64" t="s">
        <v>159</v>
      </c>
      <c r="C64" s="12">
        <v>29</v>
      </c>
      <c r="D64" s="8">
        <v>1.26</v>
      </c>
      <c r="E64" s="12">
        <v>7</v>
      </c>
      <c r="F64" s="8">
        <v>0.62</v>
      </c>
      <c r="G64" s="12">
        <v>22</v>
      </c>
      <c r="H64" s="8">
        <v>1.92</v>
      </c>
      <c r="I64" s="12">
        <v>0</v>
      </c>
    </row>
    <row r="65" spans="2:9" ht="15" customHeight="1" x14ac:dyDescent="0.2">
      <c r="B65" t="s">
        <v>153</v>
      </c>
      <c r="C65" s="12">
        <v>28</v>
      </c>
      <c r="D65" s="8">
        <v>1.22</v>
      </c>
      <c r="E65" s="12">
        <v>4</v>
      </c>
      <c r="F65" s="8">
        <v>0.35</v>
      </c>
      <c r="G65" s="12">
        <v>24</v>
      </c>
      <c r="H65" s="8">
        <v>2.09</v>
      </c>
      <c r="I65" s="12">
        <v>0</v>
      </c>
    </row>
    <row r="66" spans="2:9" ht="15" customHeight="1" x14ac:dyDescent="0.2">
      <c r="B66" t="s">
        <v>205</v>
      </c>
      <c r="C66" s="12">
        <v>28</v>
      </c>
      <c r="D66" s="8">
        <v>1.22</v>
      </c>
      <c r="E66" s="12">
        <v>10</v>
      </c>
      <c r="F66" s="8">
        <v>0.89</v>
      </c>
      <c r="G66" s="12">
        <v>18</v>
      </c>
      <c r="H66" s="8">
        <v>1.57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9883-7644-4649-90A9-1A7D6FC66C7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317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2</v>
      </c>
      <c r="D5" s="8">
        <v>0.17</v>
      </c>
      <c r="E5" s="12">
        <v>0</v>
      </c>
      <c r="F5" s="8">
        <v>0</v>
      </c>
      <c r="G5" s="12">
        <v>2</v>
      </c>
      <c r="H5" s="8">
        <v>0.43</v>
      </c>
      <c r="I5" s="12">
        <v>0</v>
      </c>
    </row>
    <row r="6" spans="2:9" ht="15" customHeight="1" x14ac:dyDescent="0.2">
      <c r="B6" t="s">
        <v>72</v>
      </c>
      <c r="C6" s="12">
        <v>217</v>
      </c>
      <c r="D6" s="8">
        <v>18.82</v>
      </c>
      <c r="E6" s="12">
        <v>99</v>
      </c>
      <c r="F6" s="8">
        <v>14.82</v>
      </c>
      <c r="G6" s="12">
        <v>118</v>
      </c>
      <c r="H6" s="8">
        <v>25.16</v>
      </c>
      <c r="I6" s="12">
        <v>0</v>
      </c>
    </row>
    <row r="7" spans="2:9" ht="15" customHeight="1" x14ac:dyDescent="0.2">
      <c r="B7" t="s">
        <v>73</v>
      </c>
      <c r="C7" s="12">
        <v>127</v>
      </c>
      <c r="D7" s="8">
        <v>11.01</v>
      </c>
      <c r="E7" s="12">
        <v>55</v>
      </c>
      <c r="F7" s="8">
        <v>8.23</v>
      </c>
      <c r="G7" s="12">
        <v>72</v>
      </c>
      <c r="H7" s="8">
        <v>15.35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0.26</v>
      </c>
      <c r="E8" s="12">
        <v>0</v>
      </c>
      <c r="F8" s="8">
        <v>0</v>
      </c>
      <c r="G8" s="12">
        <v>3</v>
      </c>
      <c r="H8" s="8">
        <v>0.64</v>
      </c>
      <c r="I8" s="12">
        <v>0</v>
      </c>
    </row>
    <row r="9" spans="2:9" ht="15" customHeight="1" x14ac:dyDescent="0.2">
      <c r="B9" t="s">
        <v>75</v>
      </c>
      <c r="C9" s="12">
        <v>4</v>
      </c>
      <c r="D9" s="8">
        <v>0.35</v>
      </c>
      <c r="E9" s="12">
        <v>0</v>
      </c>
      <c r="F9" s="8">
        <v>0</v>
      </c>
      <c r="G9" s="12">
        <v>4</v>
      </c>
      <c r="H9" s="8">
        <v>0.85</v>
      </c>
      <c r="I9" s="12">
        <v>0</v>
      </c>
    </row>
    <row r="10" spans="2:9" ht="15" customHeight="1" x14ac:dyDescent="0.2">
      <c r="B10" t="s">
        <v>76</v>
      </c>
      <c r="C10" s="12">
        <v>17</v>
      </c>
      <c r="D10" s="8">
        <v>1.47</v>
      </c>
      <c r="E10" s="12">
        <v>2</v>
      </c>
      <c r="F10" s="8">
        <v>0.3</v>
      </c>
      <c r="G10" s="12">
        <v>15</v>
      </c>
      <c r="H10" s="8">
        <v>3.2</v>
      </c>
      <c r="I10" s="12">
        <v>0</v>
      </c>
    </row>
    <row r="11" spans="2:9" ht="15" customHeight="1" x14ac:dyDescent="0.2">
      <c r="B11" t="s">
        <v>77</v>
      </c>
      <c r="C11" s="12">
        <v>264</v>
      </c>
      <c r="D11" s="8">
        <v>22.9</v>
      </c>
      <c r="E11" s="12">
        <v>147</v>
      </c>
      <c r="F11" s="8">
        <v>22.01</v>
      </c>
      <c r="G11" s="12">
        <v>116</v>
      </c>
      <c r="H11" s="8">
        <v>24.73</v>
      </c>
      <c r="I11" s="12">
        <v>1</v>
      </c>
    </row>
    <row r="12" spans="2:9" ht="15" customHeight="1" x14ac:dyDescent="0.2">
      <c r="B12" t="s">
        <v>78</v>
      </c>
      <c r="C12" s="12">
        <v>5</v>
      </c>
      <c r="D12" s="8">
        <v>0.43</v>
      </c>
      <c r="E12" s="12">
        <v>3</v>
      </c>
      <c r="F12" s="8">
        <v>0.45</v>
      </c>
      <c r="G12" s="12">
        <v>2</v>
      </c>
      <c r="H12" s="8">
        <v>0.43</v>
      </c>
      <c r="I12" s="12">
        <v>0</v>
      </c>
    </row>
    <row r="13" spans="2:9" ht="15" customHeight="1" x14ac:dyDescent="0.2">
      <c r="B13" t="s">
        <v>79</v>
      </c>
      <c r="C13" s="12">
        <v>43</v>
      </c>
      <c r="D13" s="8">
        <v>3.73</v>
      </c>
      <c r="E13" s="12">
        <v>16</v>
      </c>
      <c r="F13" s="8">
        <v>2.4</v>
      </c>
      <c r="G13" s="12">
        <v>25</v>
      </c>
      <c r="H13" s="8">
        <v>5.33</v>
      </c>
      <c r="I13" s="12">
        <v>1</v>
      </c>
    </row>
    <row r="14" spans="2:9" ht="15" customHeight="1" x14ac:dyDescent="0.2">
      <c r="B14" t="s">
        <v>80</v>
      </c>
      <c r="C14" s="12">
        <v>51</v>
      </c>
      <c r="D14" s="8">
        <v>4.42</v>
      </c>
      <c r="E14" s="12">
        <v>28</v>
      </c>
      <c r="F14" s="8">
        <v>4.1900000000000004</v>
      </c>
      <c r="G14" s="12">
        <v>22</v>
      </c>
      <c r="H14" s="8">
        <v>4.6900000000000004</v>
      </c>
      <c r="I14" s="12">
        <v>1</v>
      </c>
    </row>
    <row r="15" spans="2:9" ht="15" customHeight="1" x14ac:dyDescent="0.2">
      <c r="B15" t="s">
        <v>81</v>
      </c>
      <c r="C15" s="12">
        <v>114</v>
      </c>
      <c r="D15" s="8">
        <v>9.89</v>
      </c>
      <c r="E15" s="12">
        <v>90</v>
      </c>
      <c r="F15" s="8">
        <v>13.47</v>
      </c>
      <c r="G15" s="12">
        <v>23</v>
      </c>
      <c r="H15" s="8">
        <v>4.9000000000000004</v>
      </c>
      <c r="I15" s="12">
        <v>0</v>
      </c>
    </row>
    <row r="16" spans="2:9" ht="15" customHeight="1" x14ac:dyDescent="0.2">
      <c r="B16" t="s">
        <v>82</v>
      </c>
      <c r="C16" s="12">
        <v>159</v>
      </c>
      <c r="D16" s="8">
        <v>13.79</v>
      </c>
      <c r="E16" s="12">
        <v>143</v>
      </c>
      <c r="F16" s="8">
        <v>21.41</v>
      </c>
      <c r="G16" s="12">
        <v>16</v>
      </c>
      <c r="H16" s="8">
        <v>3.41</v>
      </c>
      <c r="I16" s="12">
        <v>0</v>
      </c>
    </row>
    <row r="17" spans="2:9" ht="15" customHeight="1" x14ac:dyDescent="0.2">
      <c r="B17" t="s">
        <v>83</v>
      </c>
      <c r="C17" s="12">
        <v>48</v>
      </c>
      <c r="D17" s="8">
        <v>4.16</v>
      </c>
      <c r="E17" s="12">
        <v>36</v>
      </c>
      <c r="F17" s="8">
        <v>5.39</v>
      </c>
      <c r="G17" s="12">
        <v>9</v>
      </c>
      <c r="H17" s="8">
        <v>1.92</v>
      </c>
      <c r="I17" s="12">
        <v>0</v>
      </c>
    </row>
    <row r="18" spans="2:9" ht="15" customHeight="1" x14ac:dyDescent="0.2">
      <c r="B18" t="s">
        <v>84</v>
      </c>
      <c r="C18" s="12">
        <v>64</v>
      </c>
      <c r="D18" s="8">
        <v>5.55</v>
      </c>
      <c r="E18" s="12">
        <v>37</v>
      </c>
      <c r="F18" s="8">
        <v>5.54</v>
      </c>
      <c r="G18" s="12">
        <v>23</v>
      </c>
      <c r="H18" s="8">
        <v>4.9000000000000004</v>
      </c>
      <c r="I18" s="12">
        <v>0</v>
      </c>
    </row>
    <row r="19" spans="2:9" ht="15" customHeight="1" x14ac:dyDescent="0.2">
      <c r="B19" t="s">
        <v>85</v>
      </c>
      <c r="C19" s="12">
        <v>35</v>
      </c>
      <c r="D19" s="8">
        <v>3.04</v>
      </c>
      <c r="E19" s="12">
        <v>12</v>
      </c>
      <c r="F19" s="8">
        <v>1.8</v>
      </c>
      <c r="G19" s="12">
        <v>19</v>
      </c>
      <c r="H19" s="8">
        <v>4.05</v>
      </c>
      <c r="I19" s="12">
        <v>2</v>
      </c>
    </row>
    <row r="20" spans="2:9" ht="15" customHeight="1" x14ac:dyDescent="0.2">
      <c r="B20" s="9" t="s">
        <v>277</v>
      </c>
      <c r="C20" s="12">
        <f>SUM(LTBL_23221[総数／事業所数])</f>
        <v>1153</v>
      </c>
      <c r="E20" s="12">
        <f>SUBTOTAL(109,LTBL_23221[個人／事業所数])</f>
        <v>668</v>
      </c>
      <c r="G20" s="12">
        <f>SUBTOTAL(109,LTBL_23221[法人／事業所数])</f>
        <v>469</v>
      </c>
      <c r="I20" s="12">
        <f>SUBTOTAL(109,LTBL_23221[法人以外の団体／事業所数])</f>
        <v>5</v>
      </c>
    </row>
    <row r="21" spans="2:9" ht="15" customHeight="1" x14ac:dyDescent="0.2">
      <c r="E21" s="11">
        <f>LTBL_23221[[#Totals],[個人／事業所数]]/LTBL_23221[[#Totals],[総数／事業所数]]</f>
        <v>0.57935819601040761</v>
      </c>
      <c r="G21" s="11">
        <f>LTBL_23221[[#Totals],[法人／事業所数]]/LTBL_23221[[#Totals],[総数／事業所数]]</f>
        <v>0.40676496097137899</v>
      </c>
      <c r="I21" s="11">
        <f>LTBL_23221[[#Totals],[法人以外の団体／事業所数]]/LTBL_23221[[#Totals],[総数／事業所数]]</f>
        <v>4.3365134431916736E-3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138</v>
      </c>
      <c r="D24" s="8">
        <v>11.97</v>
      </c>
      <c r="E24" s="12">
        <v>132</v>
      </c>
      <c r="F24" s="8">
        <v>19.760000000000002</v>
      </c>
      <c r="G24" s="12">
        <v>6</v>
      </c>
      <c r="H24" s="8">
        <v>1.28</v>
      </c>
      <c r="I24" s="12">
        <v>0</v>
      </c>
    </row>
    <row r="25" spans="2:9" ht="15" customHeight="1" x14ac:dyDescent="0.2">
      <c r="B25" t="s">
        <v>94</v>
      </c>
      <c r="C25" s="12">
        <v>108</v>
      </c>
      <c r="D25" s="8">
        <v>9.3699999999999992</v>
      </c>
      <c r="E25" s="12">
        <v>38</v>
      </c>
      <c r="F25" s="8">
        <v>5.69</v>
      </c>
      <c r="G25" s="12">
        <v>70</v>
      </c>
      <c r="H25" s="8">
        <v>14.93</v>
      </c>
      <c r="I25" s="12">
        <v>0</v>
      </c>
    </row>
    <row r="26" spans="2:9" ht="15" customHeight="1" x14ac:dyDescent="0.2">
      <c r="B26" t="s">
        <v>105</v>
      </c>
      <c r="C26" s="12">
        <v>92</v>
      </c>
      <c r="D26" s="8">
        <v>7.98</v>
      </c>
      <c r="E26" s="12">
        <v>44</v>
      </c>
      <c r="F26" s="8">
        <v>6.59</v>
      </c>
      <c r="G26" s="12">
        <v>48</v>
      </c>
      <c r="H26" s="8">
        <v>10.23</v>
      </c>
      <c r="I26" s="12">
        <v>0</v>
      </c>
    </row>
    <row r="27" spans="2:9" ht="15" customHeight="1" x14ac:dyDescent="0.2">
      <c r="B27" t="s">
        <v>110</v>
      </c>
      <c r="C27" s="12">
        <v>91</v>
      </c>
      <c r="D27" s="8">
        <v>7.89</v>
      </c>
      <c r="E27" s="12">
        <v>77</v>
      </c>
      <c r="F27" s="8">
        <v>11.53</v>
      </c>
      <c r="G27" s="12">
        <v>14</v>
      </c>
      <c r="H27" s="8">
        <v>2.99</v>
      </c>
      <c r="I27" s="12">
        <v>0</v>
      </c>
    </row>
    <row r="28" spans="2:9" ht="15" customHeight="1" x14ac:dyDescent="0.2">
      <c r="B28" t="s">
        <v>95</v>
      </c>
      <c r="C28" s="12">
        <v>66</v>
      </c>
      <c r="D28" s="8">
        <v>5.72</v>
      </c>
      <c r="E28" s="12">
        <v>46</v>
      </c>
      <c r="F28" s="8">
        <v>6.89</v>
      </c>
      <c r="G28" s="12">
        <v>20</v>
      </c>
      <c r="H28" s="8">
        <v>4.26</v>
      </c>
      <c r="I28" s="12">
        <v>0</v>
      </c>
    </row>
    <row r="29" spans="2:9" ht="15" customHeight="1" x14ac:dyDescent="0.2">
      <c r="B29" t="s">
        <v>103</v>
      </c>
      <c r="C29" s="12">
        <v>55</v>
      </c>
      <c r="D29" s="8">
        <v>4.7699999999999996</v>
      </c>
      <c r="E29" s="12">
        <v>40</v>
      </c>
      <c r="F29" s="8">
        <v>5.99</v>
      </c>
      <c r="G29" s="12">
        <v>14</v>
      </c>
      <c r="H29" s="8">
        <v>2.99</v>
      </c>
      <c r="I29" s="12">
        <v>1</v>
      </c>
    </row>
    <row r="30" spans="2:9" ht="15" customHeight="1" x14ac:dyDescent="0.2">
      <c r="B30" t="s">
        <v>112</v>
      </c>
      <c r="C30" s="12">
        <v>48</v>
      </c>
      <c r="D30" s="8">
        <v>4.16</v>
      </c>
      <c r="E30" s="12">
        <v>36</v>
      </c>
      <c r="F30" s="8">
        <v>5.39</v>
      </c>
      <c r="G30" s="12">
        <v>9</v>
      </c>
      <c r="H30" s="8">
        <v>1.92</v>
      </c>
      <c r="I30" s="12">
        <v>0</v>
      </c>
    </row>
    <row r="31" spans="2:9" ht="15" customHeight="1" x14ac:dyDescent="0.2">
      <c r="B31" t="s">
        <v>104</v>
      </c>
      <c r="C31" s="12">
        <v>44</v>
      </c>
      <c r="D31" s="8">
        <v>3.82</v>
      </c>
      <c r="E31" s="12">
        <v>28</v>
      </c>
      <c r="F31" s="8">
        <v>4.1900000000000004</v>
      </c>
      <c r="G31" s="12">
        <v>16</v>
      </c>
      <c r="H31" s="8">
        <v>3.41</v>
      </c>
      <c r="I31" s="12">
        <v>0</v>
      </c>
    </row>
    <row r="32" spans="2:9" ht="15" customHeight="1" x14ac:dyDescent="0.2">
      <c r="B32" t="s">
        <v>113</v>
      </c>
      <c r="C32" s="12">
        <v>44</v>
      </c>
      <c r="D32" s="8">
        <v>3.82</v>
      </c>
      <c r="E32" s="12">
        <v>37</v>
      </c>
      <c r="F32" s="8">
        <v>5.54</v>
      </c>
      <c r="G32" s="12">
        <v>7</v>
      </c>
      <c r="H32" s="8">
        <v>1.49</v>
      </c>
      <c r="I32" s="12">
        <v>0</v>
      </c>
    </row>
    <row r="33" spans="2:9" ht="15" customHeight="1" x14ac:dyDescent="0.2">
      <c r="B33" t="s">
        <v>96</v>
      </c>
      <c r="C33" s="12">
        <v>43</v>
      </c>
      <c r="D33" s="8">
        <v>3.73</v>
      </c>
      <c r="E33" s="12">
        <v>15</v>
      </c>
      <c r="F33" s="8">
        <v>2.25</v>
      </c>
      <c r="G33" s="12">
        <v>28</v>
      </c>
      <c r="H33" s="8">
        <v>5.97</v>
      </c>
      <c r="I33" s="12">
        <v>0</v>
      </c>
    </row>
    <row r="34" spans="2:9" ht="15" customHeight="1" x14ac:dyDescent="0.2">
      <c r="B34" t="s">
        <v>102</v>
      </c>
      <c r="C34" s="12">
        <v>33</v>
      </c>
      <c r="D34" s="8">
        <v>2.86</v>
      </c>
      <c r="E34" s="12">
        <v>25</v>
      </c>
      <c r="F34" s="8">
        <v>3.74</v>
      </c>
      <c r="G34" s="12">
        <v>8</v>
      </c>
      <c r="H34" s="8">
        <v>1.71</v>
      </c>
      <c r="I34" s="12">
        <v>0</v>
      </c>
    </row>
    <row r="35" spans="2:9" ht="15" customHeight="1" x14ac:dyDescent="0.2">
      <c r="B35" t="s">
        <v>109</v>
      </c>
      <c r="C35" s="12">
        <v>28</v>
      </c>
      <c r="D35" s="8">
        <v>2.4300000000000002</v>
      </c>
      <c r="E35" s="12">
        <v>12</v>
      </c>
      <c r="F35" s="8">
        <v>1.8</v>
      </c>
      <c r="G35" s="12">
        <v>16</v>
      </c>
      <c r="H35" s="8">
        <v>3.41</v>
      </c>
      <c r="I35" s="12">
        <v>0</v>
      </c>
    </row>
    <row r="36" spans="2:9" ht="15" customHeight="1" x14ac:dyDescent="0.2">
      <c r="B36" t="s">
        <v>107</v>
      </c>
      <c r="C36" s="12">
        <v>25</v>
      </c>
      <c r="D36" s="8">
        <v>2.17</v>
      </c>
      <c r="E36" s="12">
        <v>9</v>
      </c>
      <c r="F36" s="8">
        <v>1.35</v>
      </c>
      <c r="G36" s="12">
        <v>14</v>
      </c>
      <c r="H36" s="8">
        <v>2.99</v>
      </c>
      <c r="I36" s="12">
        <v>1</v>
      </c>
    </row>
    <row r="37" spans="2:9" ht="15" customHeight="1" x14ac:dyDescent="0.2">
      <c r="B37" t="s">
        <v>108</v>
      </c>
      <c r="C37" s="12">
        <v>23</v>
      </c>
      <c r="D37" s="8">
        <v>1.99</v>
      </c>
      <c r="E37" s="12">
        <v>16</v>
      </c>
      <c r="F37" s="8">
        <v>2.4</v>
      </c>
      <c r="G37" s="12">
        <v>6</v>
      </c>
      <c r="H37" s="8">
        <v>1.28</v>
      </c>
      <c r="I37" s="12">
        <v>1</v>
      </c>
    </row>
    <row r="38" spans="2:9" ht="15" customHeight="1" x14ac:dyDescent="0.2">
      <c r="B38" t="s">
        <v>133</v>
      </c>
      <c r="C38" s="12">
        <v>20</v>
      </c>
      <c r="D38" s="8">
        <v>1.73</v>
      </c>
      <c r="E38" s="12">
        <v>7</v>
      </c>
      <c r="F38" s="8">
        <v>1.05</v>
      </c>
      <c r="G38" s="12">
        <v>13</v>
      </c>
      <c r="H38" s="8">
        <v>2.77</v>
      </c>
      <c r="I38" s="12">
        <v>0</v>
      </c>
    </row>
    <row r="39" spans="2:9" ht="15" customHeight="1" x14ac:dyDescent="0.2">
      <c r="B39" t="s">
        <v>116</v>
      </c>
      <c r="C39" s="12">
        <v>20</v>
      </c>
      <c r="D39" s="8">
        <v>1.73</v>
      </c>
      <c r="E39" s="12">
        <v>0</v>
      </c>
      <c r="F39" s="8">
        <v>0</v>
      </c>
      <c r="G39" s="12">
        <v>16</v>
      </c>
      <c r="H39" s="8">
        <v>3.41</v>
      </c>
      <c r="I39" s="12">
        <v>0</v>
      </c>
    </row>
    <row r="40" spans="2:9" ht="15" customHeight="1" x14ac:dyDescent="0.2">
      <c r="B40" t="s">
        <v>97</v>
      </c>
      <c r="C40" s="12">
        <v>18</v>
      </c>
      <c r="D40" s="8">
        <v>1.56</v>
      </c>
      <c r="E40" s="12">
        <v>8</v>
      </c>
      <c r="F40" s="8">
        <v>1.2</v>
      </c>
      <c r="G40" s="12">
        <v>10</v>
      </c>
      <c r="H40" s="8">
        <v>2.13</v>
      </c>
      <c r="I40" s="12">
        <v>0</v>
      </c>
    </row>
    <row r="41" spans="2:9" ht="15" customHeight="1" x14ac:dyDescent="0.2">
      <c r="B41" t="s">
        <v>134</v>
      </c>
      <c r="C41" s="12">
        <v>14</v>
      </c>
      <c r="D41" s="8">
        <v>1.21</v>
      </c>
      <c r="E41" s="12">
        <v>9</v>
      </c>
      <c r="F41" s="8">
        <v>1.35</v>
      </c>
      <c r="G41" s="12">
        <v>4</v>
      </c>
      <c r="H41" s="8">
        <v>0.85</v>
      </c>
      <c r="I41" s="12">
        <v>0</v>
      </c>
    </row>
    <row r="42" spans="2:9" ht="15" customHeight="1" x14ac:dyDescent="0.2">
      <c r="B42" t="s">
        <v>106</v>
      </c>
      <c r="C42" s="12">
        <v>13</v>
      </c>
      <c r="D42" s="8">
        <v>1.1299999999999999</v>
      </c>
      <c r="E42" s="12">
        <v>7</v>
      </c>
      <c r="F42" s="8">
        <v>1.05</v>
      </c>
      <c r="G42" s="12">
        <v>6</v>
      </c>
      <c r="H42" s="8">
        <v>1.28</v>
      </c>
      <c r="I42" s="12">
        <v>0</v>
      </c>
    </row>
    <row r="43" spans="2:9" ht="15" customHeight="1" x14ac:dyDescent="0.2">
      <c r="B43" t="s">
        <v>114</v>
      </c>
      <c r="C43" s="12">
        <v>13</v>
      </c>
      <c r="D43" s="8">
        <v>1.1299999999999999</v>
      </c>
      <c r="E43" s="12">
        <v>2</v>
      </c>
      <c r="F43" s="8">
        <v>0.3</v>
      </c>
      <c r="G43" s="12">
        <v>10</v>
      </c>
      <c r="H43" s="8">
        <v>2.13</v>
      </c>
      <c r="I43" s="12">
        <v>1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63</v>
      </c>
      <c r="D47" s="8">
        <v>5.46</v>
      </c>
      <c r="E47" s="12">
        <v>59</v>
      </c>
      <c r="F47" s="8">
        <v>8.83</v>
      </c>
      <c r="G47" s="12">
        <v>4</v>
      </c>
      <c r="H47" s="8">
        <v>0.85</v>
      </c>
      <c r="I47" s="12">
        <v>0</v>
      </c>
    </row>
    <row r="48" spans="2:9" ht="15" customHeight="1" x14ac:dyDescent="0.2">
      <c r="B48" t="s">
        <v>167</v>
      </c>
      <c r="C48" s="12">
        <v>52</v>
      </c>
      <c r="D48" s="8">
        <v>4.51</v>
      </c>
      <c r="E48" s="12">
        <v>52</v>
      </c>
      <c r="F48" s="8">
        <v>7.78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205</v>
      </c>
      <c r="C49" s="12">
        <v>37</v>
      </c>
      <c r="D49" s="8">
        <v>3.21</v>
      </c>
      <c r="E49" s="12">
        <v>21</v>
      </c>
      <c r="F49" s="8">
        <v>3.14</v>
      </c>
      <c r="G49" s="12">
        <v>16</v>
      </c>
      <c r="H49" s="8">
        <v>3.41</v>
      </c>
      <c r="I49" s="12">
        <v>0</v>
      </c>
    </row>
    <row r="50" spans="2:9" ht="15" customHeight="1" x14ac:dyDescent="0.2">
      <c r="B50" t="s">
        <v>152</v>
      </c>
      <c r="C50" s="12">
        <v>35</v>
      </c>
      <c r="D50" s="8">
        <v>3.04</v>
      </c>
      <c r="E50" s="12">
        <v>7</v>
      </c>
      <c r="F50" s="8">
        <v>1.05</v>
      </c>
      <c r="G50" s="12">
        <v>28</v>
      </c>
      <c r="H50" s="8">
        <v>5.97</v>
      </c>
      <c r="I50" s="12">
        <v>0</v>
      </c>
    </row>
    <row r="51" spans="2:9" ht="15" customHeight="1" x14ac:dyDescent="0.2">
      <c r="B51" t="s">
        <v>171</v>
      </c>
      <c r="C51" s="12">
        <v>30</v>
      </c>
      <c r="D51" s="8">
        <v>2.6</v>
      </c>
      <c r="E51" s="12">
        <v>24</v>
      </c>
      <c r="F51" s="8">
        <v>3.59</v>
      </c>
      <c r="G51" s="12">
        <v>6</v>
      </c>
      <c r="H51" s="8">
        <v>1.28</v>
      </c>
      <c r="I51" s="12">
        <v>0</v>
      </c>
    </row>
    <row r="52" spans="2:9" ht="15" customHeight="1" x14ac:dyDescent="0.2">
      <c r="B52" t="s">
        <v>153</v>
      </c>
      <c r="C52" s="12">
        <v>27</v>
      </c>
      <c r="D52" s="8">
        <v>2.34</v>
      </c>
      <c r="E52" s="12">
        <v>9</v>
      </c>
      <c r="F52" s="8">
        <v>1.35</v>
      </c>
      <c r="G52" s="12">
        <v>18</v>
      </c>
      <c r="H52" s="8">
        <v>3.84</v>
      </c>
      <c r="I52" s="12">
        <v>0</v>
      </c>
    </row>
    <row r="53" spans="2:9" ht="15" customHeight="1" x14ac:dyDescent="0.2">
      <c r="B53" t="s">
        <v>156</v>
      </c>
      <c r="C53" s="12">
        <v>26</v>
      </c>
      <c r="D53" s="8">
        <v>2.25</v>
      </c>
      <c r="E53" s="12">
        <v>15</v>
      </c>
      <c r="F53" s="8">
        <v>2.25</v>
      </c>
      <c r="G53" s="12">
        <v>11</v>
      </c>
      <c r="H53" s="8">
        <v>2.35</v>
      </c>
      <c r="I53" s="12">
        <v>0</v>
      </c>
    </row>
    <row r="54" spans="2:9" ht="15" customHeight="1" x14ac:dyDescent="0.2">
      <c r="B54" t="s">
        <v>165</v>
      </c>
      <c r="C54" s="12">
        <v>26</v>
      </c>
      <c r="D54" s="8">
        <v>2.25</v>
      </c>
      <c r="E54" s="12">
        <v>24</v>
      </c>
      <c r="F54" s="8">
        <v>3.59</v>
      </c>
      <c r="G54" s="12">
        <v>2</v>
      </c>
      <c r="H54" s="8">
        <v>0.43</v>
      </c>
      <c r="I54" s="12">
        <v>0</v>
      </c>
    </row>
    <row r="55" spans="2:9" ht="15" customHeight="1" x14ac:dyDescent="0.2">
      <c r="B55" t="s">
        <v>163</v>
      </c>
      <c r="C55" s="12">
        <v>25</v>
      </c>
      <c r="D55" s="8">
        <v>2.17</v>
      </c>
      <c r="E55" s="12">
        <v>19</v>
      </c>
      <c r="F55" s="8">
        <v>2.84</v>
      </c>
      <c r="G55" s="12">
        <v>6</v>
      </c>
      <c r="H55" s="8">
        <v>1.28</v>
      </c>
      <c r="I55" s="12">
        <v>0</v>
      </c>
    </row>
    <row r="56" spans="2:9" ht="15" customHeight="1" x14ac:dyDescent="0.2">
      <c r="B56" t="s">
        <v>170</v>
      </c>
      <c r="C56" s="12">
        <v>25</v>
      </c>
      <c r="D56" s="8">
        <v>2.17</v>
      </c>
      <c r="E56" s="12">
        <v>19</v>
      </c>
      <c r="F56" s="8">
        <v>2.84</v>
      </c>
      <c r="G56" s="12">
        <v>6</v>
      </c>
      <c r="H56" s="8">
        <v>1.28</v>
      </c>
      <c r="I56" s="12">
        <v>0</v>
      </c>
    </row>
    <row r="57" spans="2:9" ht="15" customHeight="1" x14ac:dyDescent="0.2">
      <c r="B57" t="s">
        <v>154</v>
      </c>
      <c r="C57" s="12">
        <v>23</v>
      </c>
      <c r="D57" s="8">
        <v>1.99</v>
      </c>
      <c r="E57" s="12">
        <v>9</v>
      </c>
      <c r="F57" s="8">
        <v>1.35</v>
      </c>
      <c r="G57" s="12">
        <v>14</v>
      </c>
      <c r="H57" s="8">
        <v>2.99</v>
      </c>
      <c r="I57" s="12">
        <v>0</v>
      </c>
    </row>
    <row r="58" spans="2:9" ht="15" customHeight="1" x14ac:dyDescent="0.2">
      <c r="B58" t="s">
        <v>158</v>
      </c>
      <c r="C58" s="12">
        <v>22</v>
      </c>
      <c r="D58" s="8">
        <v>1.91</v>
      </c>
      <c r="E58" s="12">
        <v>12</v>
      </c>
      <c r="F58" s="8">
        <v>1.8</v>
      </c>
      <c r="G58" s="12">
        <v>10</v>
      </c>
      <c r="H58" s="8">
        <v>2.13</v>
      </c>
      <c r="I58" s="12">
        <v>0</v>
      </c>
    </row>
    <row r="59" spans="2:9" ht="15" customHeight="1" x14ac:dyDescent="0.2">
      <c r="B59" t="s">
        <v>162</v>
      </c>
      <c r="C59" s="12">
        <v>22</v>
      </c>
      <c r="D59" s="8">
        <v>1.91</v>
      </c>
      <c r="E59" s="12">
        <v>8</v>
      </c>
      <c r="F59" s="8">
        <v>1.2</v>
      </c>
      <c r="G59" s="12">
        <v>14</v>
      </c>
      <c r="H59" s="8">
        <v>2.99</v>
      </c>
      <c r="I59" s="12">
        <v>0</v>
      </c>
    </row>
    <row r="60" spans="2:9" ht="15" customHeight="1" x14ac:dyDescent="0.2">
      <c r="B60" t="s">
        <v>186</v>
      </c>
      <c r="C60" s="12">
        <v>21</v>
      </c>
      <c r="D60" s="8">
        <v>1.82</v>
      </c>
      <c r="E60" s="12">
        <v>12</v>
      </c>
      <c r="F60" s="8">
        <v>1.8</v>
      </c>
      <c r="G60" s="12">
        <v>9</v>
      </c>
      <c r="H60" s="8">
        <v>1.92</v>
      </c>
      <c r="I60" s="12">
        <v>0</v>
      </c>
    </row>
    <row r="61" spans="2:9" ht="15" customHeight="1" x14ac:dyDescent="0.2">
      <c r="B61" t="s">
        <v>157</v>
      </c>
      <c r="C61" s="12">
        <v>21</v>
      </c>
      <c r="D61" s="8">
        <v>1.82</v>
      </c>
      <c r="E61" s="12">
        <v>9</v>
      </c>
      <c r="F61" s="8">
        <v>1.35</v>
      </c>
      <c r="G61" s="12">
        <v>12</v>
      </c>
      <c r="H61" s="8">
        <v>2.56</v>
      </c>
      <c r="I61" s="12">
        <v>0</v>
      </c>
    </row>
    <row r="62" spans="2:9" ht="15" customHeight="1" x14ac:dyDescent="0.2">
      <c r="B62" t="s">
        <v>169</v>
      </c>
      <c r="C62" s="12">
        <v>19</v>
      </c>
      <c r="D62" s="8">
        <v>1.65</v>
      </c>
      <c r="E62" s="12">
        <v>16</v>
      </c>
      <c r="F62" s="8">
        <v>2.4</v>
      </c>
      <c r="G62" s="12">
        <v>3</v>
      </c>
      <c r="H62" s="8">
        <v>0.64</v>
      </c>
      <c r="I62" s="12">
        <v>0</v>
      </c>
    </row>
    <row r="63" spans="2:9" ht="15" customHeight="1" x14ac:dyDescent="0.2">
      <c r="B63" t="s">
        <v>210</v>
      </c>
      <c r="C63" s="12">
        <v>18</v>
      </c>
      <c r="D63" s="8">
        <v>1.56</v>
      </c>
      <c r="E63" s="12">
        <v>17</v>
      </c>
      <c r="F63" s="8">
        <v>2.54</v>
      </c>
      <c r="G63" s="12">
        <v>1</v>
      </c>
      <c r="H63" s="8">
        <v>0.21</v>
      </c>
      <c r="I63" s="12">
        <v>0</v>
      </c>
    </row>
    <row r="64" spans="2:9" ht="15" customHeight="1" x14ac:dyDescent="0.2">
      <c r="B64" t="s">
        <v>155</v>
      </c>
      <c r="C64" s="12">
        <v>16</v>
      </c>
      <c r="D64" s="8">
        <v>1.39</v>
      </c>
      <c r="E64" s="12">
        <v>6</v>
      </c>
      <c r="F64" s="8">
        <v>0.9</v>
      </c>
      <c r="G64" s="12">
        <v>10</v>
      </c>
      <c r="H64" s="8">
        <v>2.13</v>
      </c>
      <c r="I64" s="12">
        <v>0</v>
      </c>
    </row>
    <row r="65" spans="2:9" ht="15" customHeight="1" x14ac:dyDescent="0.2">
      <c r="B65" t="s">
        <v>166</v>
      </c>
      <c r="C65" s="12">
        <v>16</v>
      </c>
      <c r="D65" s="8">
        <v>1.39</v>
      </c>
      <c r="E65" s="12">
        <v>14</v>
      </c>
      <c r="F65" s="8">
        <v>2.1</v>
      </c>
      <c r="G65" s="12">
        <v>2</v>
      </c>
      <c r="H65" s="8">
        <v>0.43</v>
      </c>
      <c r="I65" s="12">
        <v>0</v>
      </c>
    </row>
    <row r="66" spans="2:9" ht="15" customHeight="1" x14ac:dyDescent="0.2">
      <c r="B66" t="s">
        <v>217</v>
      </c>
      <c r="C66" s="12">
        <v>14</v>
      </c>
      <c r="D66" s="8">
        <v>1.21</v>
      </c>
      <c r="E66" s="12">
        <v>11</v>
      </c>
      <c r="F66" s="8">
        <v>1.65</v>
      </c>
      <c r="G66" s="12">
        <v>3</v>
      </c>
      <c r="H66" s="8">
        <v>0.64</v>
      </c>
      <c r="I66" s="12">
        <v>0</v>
      </c>
    </row>
    <row r="67" spans="2:9" ht="15" customHeight="1" x14ac:dyDescent="0.2">
      <c r="B67" t="s">
        <v>218</v>
      </c>
      <c r="C67" s="12">
        <v>14</v>
      </c>
      <c r="D67" s="8">
        <v>1.21</v>
      </c>
      <c r="E67" s="12">
        <v>3</v>
      </c>
      <c r="F67" s="8">
        <v>0.45</v>
      </c>
      <c r="G67" s="12">
        <v>11</v>
      </c>
      <c r="H67" s="8">
        <v>2.35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C632-E777-4DCF-BF2F-AD7B856D636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318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334</v>
      </c>
      <c r="D6" s="8">
        <v>16.59</v>
      </c>
      <c r="E6" s="12">
        <v>64</v>
      </c>
      <c r="F6" s="8">
        <v>7.33</v>
      </c>
      <c r="G6" s="12">
        <v>270</v>
      </c>
      <c r="H6" s="8">
        <v>24.09</v>
      </c>
      <c r="I6" s="12">
        <v>0</v>
      </c>
    </row>
    <row r="7" spans="2:9" ht="15" customHeight="1" x14ac:dyDescent="0.2">
      <c r="B7" t="s">
        <v>73</v>
      </c>
      <c r="C7" s="12">
        <v>206</v>
      </c>
      <c r="D7" s="8">
        <v>10.23</v>
      </c>
      <c r="E7" s="12">
        <v>49</v>
      </c>
      <c r="F7" s="8">
        <v>5.61</v>
      </c>
      <c r="G7" s="12">
        <v>157</v>
      </c>
      <c r="H7" s="8">
        <v>14.01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2">
      <c r="B9" t="s">
        <v>75</v>
      </c>
      <c r="C9" s="12">
        <v>11</v>
      </c>
      <c r="D9" s="8">
        <v>0.55000000000000004</v>
      </c>
      <c r="E9" s="12">
        <v>0</v>
      </c>
      <c r="F9" s="8">
        <v>0</v>
      </c>
      <c r="G9" s="12">
        <v>11</v>
      </c>
      <c r="H9" s="8">
        <v>0.98</v>
      </c>
      <c r="I9" s="12">
        <v>0</v>
      </c>
    </row>
    <row r="10" spans="2:9" ht="15" customHeight="1" x14ac:dyDescent="0.2">
      <c r="B10" t="s">
        <v>76</v>
      </c>
      <c r="C10" s="12">
        <v>43</v>
      </c>
      <c r="D10" s="8">
        <v>2.14</v>
      </c>
      <c r="E10" s="12">
        <v>1</v>
      </c>
      <c r="F10" s="8">
        <v>0.11</v>
      </c>
      <c r="G10" s="12">
        <v>42</v>
      </c>
      <c r="H10" s="8">
        <v>3.75</v>
      </c>
      <c r="I10" s="12">
        <v>0</v>
      </c>
    </row>
    <row r="11" spans="2:9" ht="15" customHeight="1" x14ac:dyDescent="0.2">
      <c r="B11" t="s">
        <v>77</v>
      </c>
      <c r="C11" s="12">
        <v>357</v>
      </c>
      <c r="D11" s="8">
        <v>17.73</v>
      </c>
      <c r="E11" s="12">
        <v>116</v>
      </c>
      <c r="F11" s="8">
        <v>13.29</v>
      </c>
      <c r="G11" s="12">
        <v>241</v>
      </c>
      <c r="H11" s="8">
        <v>21.5</v>
      </c>
      <c r="I11" s="12">
        <v>0</v>
      </c>
    </row>
    <row r="12" spans="2:9" ht="15" customHeight="1" x14ac:dyDescent="0.2">
      <c r="B12" t="s">
        <v>78</v>
      </c>
      <c r="C12" s="12">
        <v>15</v>
      </c>
      <c r="D12" s="8">
        <v>0.75</v>
      </c>
      <c r="E12" s="12">
        <v>2</v>
      </c>
      <c r="F12" s="8">
        <v>0.23</v>
      </c>
      <c r="G12" s="12">
        <v>13</v>
      </c>
      <c r="H12" s="8">
        <v>1.1599999999999999</v>
      </c>
      <c r="I12" s="12">
        <v>0</v>
      </c>
    </row>
    <row r="13" spans="2:9" ht="15" customHeight="1" x14ac:dyDescent="0.2">
      <c r="B13" t="s">
        <v>79</v>
      </c>
      <c r="C13" s="12">
        <v>195</v>
      </c>
      <c r="D13" s="8">
        <v>9.69</v>
      </c>
      <c r="E13" s="12">
        <v>88</v>
      </c>
      <c r="F13" s="8">
        <v>10.08</v>
      </c>
      <c r="G13" s="12">
        <v>107</v>
      </c>
      <c r="H13" s="8">
        <v>9.5500000000000007</v>
      </c>
      <c r="I13" s="12">
        <v>0</v>
      </c>
    </row>
    <row r="14" spans="2:9" ht="15" customHeight="1" x14ac:dyDescent="0.2">
      <c r="B14" t="s">
        <v>80</v>
      </c>
      <c r="C14" s="12">
        <v>72</v>
      </c>
      <c r="D14" s="8">
        <v>3.58</v>
      </c>
      <c r="E14" s="12">
        <v>36</v>
      </c>
      <c r="F14" s="8">
        <v>4.12</v>
      </c>
      <c r="G14" s="12">
        <v>36</v>
      </c>
      <c r="H14" s="8">
        <v>3.21</v>
      </c>
      <c r="I14" s="12">
        <v>0</v>
      </c>
    </row>
    <row r="15" spans="2:9" ht="15" customHeight="1" x14ac:dyDescent="0.2">
      <c r="B15" t="s">
        <v>81</v>
      </c>
      <c r="C15" s="12">
        <v>261</v>
      </c>
      <c r="D15" s="8">
        <v>12.97</v>
      </c>
      <c r="E15" s="12">
        <v>191</v>
      </c>
      <c r="F15" s="8">
        <v>21.88</v>
      </c>
      <c r="G15" s="12">
        <v>68</v>
      </c>
      <c r="H15" s="8">
        <v>6.07</v>
      </c>
      <c r="I15" s="12">
        <v>0</v>
      </c>
    </row>
    <row r="16" spans="2:9" ht="15" customHeight="1" x14ac:dyDescent="0.2">
      <c r="B16" t="s">
        <v>82</v>
      </c>
      <c r="C16" s="12">
        <v>273</v>
      </c>
      <c r="D16" s="8">
        <v>13.56</v>
      </c>
      <c r="E16" s="12">
        <v>187</v>
      </c>
      <c r="F16" s="8">
        <v>21.42</v>
      </c>
      <c r="G16" s="12">
        <v>82</v>
      </c>
      <c r="H16" s="8">
        <v>7.31</v>
      </c>
      <c r="I16" s="12">
        <v>1</v>
      </c>
    </row>
    <row r="17" spans="2:9" ht="15" customHeight="1" x14ac:dyDescent="0.2">
      <c r="B17" t="s">
        <v>83</v>
      </c>
      <c r="C17" s="12">
        <v>87</v>
      </c>
      <c r="D17" s="8">
        <v>4.32</v>
      </c>
      <c r="E17" s="12">
        <v>61</v>
      </c>
      <c r="F17" s="8">
        <v>6.99</v>
      </c>
      <c r="G17" s="12">
        <v>22</v>
      </c>
      <c r="H17" s="8">
        <v>1.96</v>
      </c>
      <c r="I17" s="12">
        <v>1</v>
      </c>
    </row>
    <row r="18" spans="2:9" ht="15" customHeight="1" x14ac:dyDescent="0.2">
      <c r="B18" t="s">
        <v>84</v>
      </c>
      <c r="C18" s="12">
        <v>95</v>
      </c>
      <c r="D18" s="8">
        <v>4.72</v>
      </c>
      <c r="E18" s="12">
        <v>57</v>
      </c>
      <c r="F18" s="8">
        <v>6.53</v>
      </c>
      <c r="G18" s="12">
        <v>30</v>
      </c>
      <c r="H18" s="8">
        <v>2.68</v>
      </c>
      <c r="I18" s="12">
        <v>0</v>
      </c>
    </row>
    <row r="19" spans="2:9" ht="15" customHeight="1" x14ac:dyDescent="0.2">
      <c r="B19" t="s">
        <v>85</v>
      </c>
      <c r="C19" s="12">
        <v>63</v>
      </c>
      <c r="D19" s="8">
        <v>3.13</v>
      </c>
      <c r="E19" s="12">
        <v>21</v>
      </c>
      <c r="F19" s="8">
        <v>2.41</v>
      </c>
      <c r="G19" s="12">
        <v>41</v>
      </c>
      <c r="H19" s="8">
        <v>3.66</v>
      </c>
      <c r="I19" s="12">
        <v>1</v>
      </c>
    </row>
    <row r="20" spans="2:9" ht="15" customHeight="1" x14ac:dyDescent="0.2">
      <c r="B20" s="9" t="s">
        <v>277</v>
      </c>
      <c r="C20" s="12">
        <f>SUM(LTBL_23222[総数／事業所数])</f>
        <v>2013</v>
      </c>
      <c r="E20" s="12">
        <f>SUBTOTAL(109,LTBL_23222[個人／事業所数])</f>
        <v>873</v>
      </c>
      <c r="G20" s="12">
        <f>SUBTOTAL(109,LTBL_23222[法人／事業所数])</f>
        <v>1121</v>
      </c>
      <c r="I20" s="12">
        <f>SUBTOTAL(109,LTBL_23222[法人以外の団体／事業所数])</f>
        <v>3</v>
      </c>
    </row>
    <row r="21" spans="2:9" ht="15" customHeight="1" x14ac:dyDescent="0.2">
      <c r="E21" s="11">
        <f>LTBL_23222[[#Totals],[個人／事業所数]]/LTBL_23222[[#Totals],[総数／事業所数]]</f>
        <v>0.43368107302533532</v>
      </c>
      <c r="G21" s="11">
        <f>LTBL_23222[[#Totals],[法人／事業所数]]/LTBL_23222[[#Totals],[総数／事業所数]]</f>
        <v>0.55688027819175356</v>
      </c>
      <c r="I21" s="11">
        <f>LTBL_23222[[#Totals],[法人以外の団体／事業所数]]/LTBL_23222[[#Totals],[総数／事業所数]]</f>
        <v>1.4903129657228018E-3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218</v>
      </c>
      <c r="D24" s="8">
        <v>10.83</v>
      </c>
      <c r="E24" s="12">
        <v>166</v>
      </c>
      <c r="F24" s="8">
        <v>19.010000000000002</v>
      </c>
      <c r="G24" s="12">
        <v>52</v>
      </c>
      <c r="H24" s="8">
        <v>4.6399999999999997</v>
      </c>
      <c r="I24" s="12">
        <v>0</v>
      </c>
    </row>
    <row r="25" spans="2:9" ht="15" customHeight="1" x14ac:dyDescent="0.2">
      <c r="B25" t="s">
        <v>110</v>
      </c>
      <c r="C25" s="12">
        <v>215</v>
      </c>
      <c r="D25" s="8">
        <v>10.68</v>
      </c>
      <c r="E25" s="12">
        <v>188</v>
      </c>
      <c r="F25" s="8">
        <v>21.53</v>
      </c>
      <c r="G25" s="12">
        <v>27</v>
      </c>
      <c r="H25" s="8">
        <v>2.41</v>
      </c>
      <c r="I25" s="12">
        <v>0</v>
      </c>
    </row>
    <row r="26" spans="2:9" ht="15" customHeight="1" x14ac:dyDescent="0.2">
      <c r="B26" t="s">
        <v>107</v>
      </c>
      <c r="C26" s="12">
        <v>160</v>
      </c>
      <c r="D26" s="8">
        <v>7.95</v>
      </c>
      <c r="E26" s="12">
        <v>80</v>
      </c>
      <c r="F26" s="8">
        <v>9.16</v>
      </c>
      <c r="G26" s="12">
        <v>80</v>
      </c>
      <c r="H26" s="8">
        <v>7.14</v>
      </c>
      <c r="I26" s="12">
        <v>0</v>
      </c>
    </row>
    <row r="27" spans="2:9" ht="15" customHeight="1" x14ac:dyDescent="0.2">
      <c r="B27" t="s">
        <v>96</v>
      </c>
      <c r="C27" s="12">
        <v>119</v>
      </c>
      <c r="D27" s="8">
        <v>5.91</v>
      </c>
      <c r="E27" s="12">
        <v>9</v>
      </c>
      <c r="F27" s="8">
        <v>1.03</v>
      </c>
      <c r="G27" s="12">
        <v>110</v>
      </c>
      <c r="H27" s="8">
        <v>9.81</v>
      </c>
      <c r="I27" s="12">
        <v>0</v>
      </c>
    </row>
    <row r="28" spans="2:9" ht="15" customHeight="1" x14ac:dyDescent="0.2">
      <c r="B28" t="s">
        <v>94</v>
      </c>
      <c r="C28" s="12">
        <v>114</v>
      </c>
      <c r="D28" s="8">
        <v>5.66</v>
      </c>
      <c r="E28" s="12">
        <v>22</v>
      </c>
      <c r="F28" s="8">
        <v>2.52</v>
      </c>
      <c r="G28" s="12">
        <v>92</v>
      </c>
      <c r="H28" s="8">
        <v>8.2100000000000009</v>
      </c>
      <c r="I28" s="12">
        <v>0</v>
      </c>
    </row>
    <row r="29" spans="2:9" ht="15" customHeight="1" x14ac:dyDescent="0.2">
      <c r="B29" t="s">
        <v>95</v>
      </c>
      <c r="C29" s="12">
        <v>101</v>
      </c>
      <c r="D29" s="8">
        <v>5.0199999999999996</v>
      </c>
      <c r="E29" s="12">
        <v>33</v>
      </c>
      <c r="F29" s="8">
        <v>3.78</v>
      </c>
      <c r="G29" s="12">
        <v>68</v>
      </c>
      <c r="H29" s="8">
        <v>6.07</v>
      </c>
      <c r="I29" s="12">
        <v>0</v>
      </c>
    </row>
    <row r="30" spans="2:9" ht="15" customHeight="1" x14ac:dyDescent="0.2">
      <c r="B30" t="s">
        <v>112</v>
      </c>
      <c r="C30" s="12">
        <v>87</v>
      </c>
      <c r="D30" s="8">
        <v>4.32</v>
      </c>
      <c r="E30" s="12">
        <v>61</v>
      </c>
      <c r="F30" s="8">
        <v>6.99</v>
      </c>
      <c r="G30" s="12">
        <v>22</v>
      </c>
      <c r="H30" s="8">
        <v>1.96</v>
      </c>
      <c r="I30" s="12">
        <v>1</v>
      </c>
    </row>
    <row r="31" spans="2:9" ht="15" customHeight="1" x14ac:dyDescent="0.2">
      <c r="B31" t="s">
        <v>105</v>
      </c>
      <c r="C31" s="12">
        <v>85</v>
      </c>
      <c r="D31" s="8">
        <v>4.22</v>
      </c>
      <c r="E31" s="12">
        <v>38</v>
      </c>
      <c r="F31" s="8">
        <v>4.3499999999999996</v>
      </c>
      <c r="G31" s="12">
        <v>47</v>
      </c>
      <c r="H31" s="8">
        <v>4.1900000000000004</v>
      </c>
      <c r="I31" s="12">
        <v>0</v>
      </c>
    </row>
    <row r="32" spans="2:9" ht="15" customHeight="1" x14ac:dyDescent="0.2">
      <c r="B32" t="s">
        <v>113</v>
      </c>
      <c r="C32" s="12">
        <v>65</v>
      </c>
      <c r="D32" s="8">
        <v>3.23</v>
      </c>
      <c r="E32" s="12">
        <v>57</v>
      </c>
      <c r="F32" s="8">
        <v>6.53</v>
      </c>
      <c r="G32" s="12">
        <v>8</v>
      </c>
      <c r="H32" s="8">
        <v>0.71</v>
      </c>
      <c r="I32" s="12">
        <v>0</v>
      </c>
    </row>
    <row r="33" spans="2:9" ht="15" customHeight="1" x14ac:dyDescent="0.2">
      <c r="B33" t="s">
        <v>104</v>
      </c>
      <c r="C33" s="12">
        <v>63</v>
      </c>
      <c r="D33" s="8">
        <v>3.13</v>
      </c>
      <c r="E33" s="12">
        <v>28</v>
      </c>
      <c r="F33" s="8">
        <v>3.21</v>
      </c>
      <c r="G33" s="12">
        <v>35</v>
      </c>
      <c r="H33" s="8">
        <v>3.12</v>
      </c>
      <c r="I33" s="12">
        <v>0</v>
      </c>
    </row>
    <row r="34" spans="2:9" ht="15" customHeight="1" x14ac:dyDescent="0.2">
      <c r="B34" t="s">
        <v>103</v>
      </c>
      <c r="C34" s="12">
        <v>60</v>
      </c>
      <c r="D34" s="8">
        <v>2.98</v>
      </c>
      <c r="E34" s="12">
        <v>23</v>
      </c>
      <c r="F34" s="8">
        <v>2.63</v>
      </c>
      <c r="G34" s="12">
        <v>37</v>
      </c>
      <c r="H34" s="8">
        <v>3.3</v>
      </c>
      <c r="I34" s="12">
        <v>0</v>
      </c>
    </row>
    <row r="35" spans="2:9" ht="15" customHeight="1" x14ac:dyDescent="0.2">
      <c r="B35" t="s">
        <v>97</v>
      </c>
      <c r="C35" s="12">
        <v>45</v>
      </c>
      <c r="D35" s="8">
        <v>2.2400000000000002</v>
      </c>
      <c r="E35" s="12">
        <v>10</v>
      </c>
      <c r="F35" s="8">
        <v>1.1499999999999999</v>
      </c>
      <c r="G35" s="12">
        <v>35</v>
      </c>
      <c r="H35" s="8">
        <v>3.12</v>
      </c>
      <c r="I35" s="12">
        <v>0</v>
      </c>
    </row>
    <row r="36" spans="2:9" ht="15" customHeight="1" x14ac:dyDescent="0.2">
      <c r="B36" t="s">
        <v>99</v>
      </c>
      <c r="C36" s="12">
        <v>42</v>
      </c>
      <c r="D36" s="8">
        <v>2.09</v>
      </c>
      <c r="E36" s="12">
        <v>5</v>
      </c>
      <c r="F36" s="8">
        <v>0.56999999999999995</v>
      </c>
      <c r="G36" s="12">
        <v>37</v>
      </c>
      <c r="H36" s="8">
        <v>3.3</v>
      </c>
      <c r="I36" s="12">
        <v>0</v>
      </c>
    </row>
    <row r="37" spans="2:9" ht="15" customHeight="1" x14ac:dyDescent="0.2">
      <c r="B37" t="s">
        <v>135</v>
      </c>
      <c r="C37" s="12">
        <v>39</v>
      </c>
      <c r="D37" s="8">
        <v>1.94</v>
      </c>
      <c r="E37" s="12">
        <v>3</v>
      </c>
      <c r="F37" s="8">
        <v>0.34</v>
      </c>
      <c r="G37" s="12">
        <v>35</v>
      </c>
      <c r="H37" s="8">
        <v>3.12</v>
      </c>
      <c r="I37" s="12">
        <v>0</v>
      </c>
    </row>
    <row r="38" spans="2:9" ht="15" customHeight="1" x14ac:dyDescent="0.2">
      <c r="B38" t="s">
        <v>108</v>
      </c>
      <c r="C38" s="12">
        <v>38</v>
      </c>
      <c r="D38" s="8">
        <v>1.89</v>
      </c>
      <c r="E38" s="12">
        <v>20</v>
      </c>
      <c r="F38" s="8">
        <v>2.29</v>
      </c>
      <c r="G38" s="12">
        <v>18</v>
      </c>
      <c r="H38" s="8">
        <v>1.61</v>
      </c>
      <c r="I38" s="12">
        <v>0</v>
      </c>
    </row>
    <row r="39" spans="2:9" ht="15" customHeight="1" x14ac:dyDescent="0.2">
      <c r="B39" t="s">
        <v>100</v>
      </c>
      <c r="C39" s="12">
        <v>36</v>
      </c>
      <c r="D39" s="8">
        <v>1.79</v>
      </c>
      <c r="E39" s="12">
        <v>2</v>
      </c>
      <c r="F39" s="8">
        <v>0.23</v>
      </c>
      <c r="G39" s="12">
        <v>34</v>
      </c>
      <c r="H39" s="8">
        <v>3.03</v>
      </c>
      <c r="I39" s="12">
        <v>0</v>
      </c>
    </row>
    <row r="40" spans="2:9" ht="15" customHeight="1" x14ac:dyDescent="0.2">
      <c r="B40" t="s">
        <v>98</v>
      </c>
      <c r="C40" s="12">
        <v>31</v>
      </c>
      <c r="D40" s="8">
        <v>1.54</v>
      </c>
      <c r="E40" s="12">
        <v>1</v>
      </c>
      <c r="F40" s="8">
        <v>0.11</v>
      </c>
      <c r="G40" s="12">
        <v>30</v>
      </c>
      <c r="H40" s="8">
        <v>2.68</v>
      </c>
      <c r="I40" s="12">
        <v>0</v>
      </c>
    </row>
    <row r="41" spans="2:9" ht="15" customHeight="1" x14ac:dyDescent="0.2">
      <c r="B41" t="s">
        <v>109</v>
      </c>
      <c r="C41" s="12">
        <v>31</v>
      </c>
      <c r="D41" s="8">
        <v>1.54</v>
      </c>
      <c r="E41" s="12">
        <v>15</v>
      </c>
      <c r="F41" s="8">
        <v>1.72</v>
      </c>
      <c r="G41" s="12">
        <v>16</v>
      </c>
      <c r="H41" s="8">
        <v>1.43</v>
      </c>
      <c r="I41" s="12">
        <v>0</v>
      </c>
    </row>
    <row r="42" spans="2:9" ht="15" customHeight="1" x14ac:dyDescent="0.2">
      <c r="B42" t="s">
        <v>115</v>
      </c>
      <c r="C42" s="12">
        <v>30</v>
      </c>
      <c r="D42" s="8">
        <v>1.49</v>
      </c>
      <c r="E42" s="12">
        <v>12</v>
      </c>
      <c r="F42" s="8">
        <v>1.37</v>
      </c>
      <c r="G42" s="12">
        <v>18</v>
      </c>
      <c r="H42" s="8">
        <v>1.61</v>
      </c>
      <c r="I42" s="12">
        <v>0</v>
      </c>
    </row>
    <row r="43" spans="2:9" ht="15" customHeight="1" x14ac:dyDescent="0.2">
      <c r="B43" t="s">
        <v>116</v>
      </c>
      <c r="C43" s="12">
        <v>30</v>
      </c>
      <c r="D43" s="8">
        <v>1.49</v>
      </c>
      <c r="E43" s="12">
        <v>0</v>
      </c>
      <c r="F43" s="8">
        <v>0</v>
      </c>
      <c r="G43" s="12">
        <v>22</v>
      </c>
      <c r="H43" s="8">
        <v>1.96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114</v>
      </c>
      <c r="D47" s="8">
        <v>5.66</v>
      </c>
      <c r="E47" s="12">
        <v>92</v>
      </c>
      <c r="F47" s="8">
        <v>10.54</v>
      </c>
      <c r="G47" s="12">
        <v>22</v>
      </c>
      <c r="H47" s="8">
        <v>1.96</v>
      </c>
      <c r="I47" s="12">
        <v>0</v>
      </c>
    </row>
    <row r="48" spans="2:9" ht="15" customHeight="1" x14ac:dyDescent="0.2">
      <c r="B48" t="s">
        <v>161</v>
      </c>
      <c r="C48" s="12">
        <v>93</v>
      </c>
      <c r="D48" s="8">
        <v>4.62</v>
      </c>
      <c r="E48" s="12">
        <v>62</v>
      </c>
      <c r="F48" s="8">
        <v>7.1</v>
      </c>
      <c r="G48" s="12">
        <v>31</v>
      </c>
      <c r="H48" s="8">
        <v>2.77</v>
      </c>
      <c r="I48" s="12">
        <v>0</v>
      </c>
    </row>
    <row r="49" spans="2:9" ht="15" customHeight="1" x14ac:dyDescent="0.2">
      <c r="B49" t="s">
        <v>167</v>
      </c>
      <c r="C49" s="12">
        <v>58</v>
      </c>
      <c r="D49" s="8">
        <v>2.88</v>
      </c>
      <c r="E49" s="12">
        <v>50</v>
      </c>
      <c r="F49" s="8">
        <v>5.73</v>
      </c>
      <c r="G49" s="12">
        <v>8</v>
      </c>
      <c r="H49" s="8">
        <v>0.71</v>
      </c>
      <c r="I49" s="12">
        <v>0</v>
      </c>
    </row>
    <row r="50" spans="2:9" ht="15" customHeight="1" x14ac:dyDescent="0.2">
      <c r="B50" t="s">
        <v>165</v>
      </c>
      <c r="C50" s="12">
        <v>56</v>
      </c>
      <c r="D50" s="8">
        <v>2.78</v>
      </c>
      <c r="E50" s="12">
        <v>54</v>
      </c>
      <c r="F50" s="8">
        <v>6.19</v>
      </c>
      <c r="G50" s="12">
        <v>2</v>
      </c>
      <c r="H50" s="8">
        <v>0.18</v>
      </c>
      <c r="I50" s="12">
        <v>0</v>
      </c>
    </row>
    <row r="51" spans="2:9" ht="15" customHeight="1" x14ac:dyDescent="0.2">
      <c r="B51" t="s">
        <v>170</v>
      </c>
      <c r="C51" s="12">
        <v>50</v>
      </c>
      <c r="D51" s="8">
        <v>2.48</v>
      </c>
      <c r="E51" s="12">
        <v>39</v>
      </c>
      <c r="F51" s="8">
        <v>4.47</v>
      </c>
      <c r="G51" s="12">
        <v>11</v>
      </c>
      <c r="H51" s="8">
        <v>0.98</v>
      </c>
      <c r="I51" s="12">
        <v>0</v>
      </c>
    </row>
    <row r="52" spans="2:9" ht="15" customHeight="1" x14ac:dyDescent="0.2">
      <c r="B52" t="s">
        <v>164</v>
      </c>
      <c r="C52" s="12">
        <v>47</v>
      </c>
      <c r="D52" s="8">
        <v>2.33</v>
      </c>
      <c r="E52" s="12">
        <v>45</v>
      </c>
      <c r="F52" s="8">
        <v>5.15</v>
      </c>
      <c r="G52" s="12">
        <v>2</v>
      </c>
      <c r="H52" s="8">
        <v>0.18</v>
      </c>
      <c r="I52" s="12">
        <v>0</v>
      </c>
    </row>
    <row r="53" spans="2:9" ht="15" customHeight="1" x14ac:dyDescent="0.2">
      <c r="B53" t="s">
        <v>171</v>
      </c>
      <c r="C53" s="12">
        <v>47</v>
      </c>
      <c r="D53" s="8">
        <v>2.33</v>
      </c>
      <c r="E53" s="12">
        <v>41</v>
      </c>
      <c r="F53" s="8">
        <v>4.7</v>
      </c>
      <c r="G53" s="12">
        <v>6</v>
      </c>
      <c r="H53" s="8">
        <v>0.54</v>
      </c>
      <c r="I53" s="12">
        <v>0</v>
      </c>
    </row>
    <row r="54" spans="2:9" ht="15" customHeight="1" x14ac:dyDescent="0.2">
      <c r="B54" t="s">
        <v>155</v>
      </c>
      <c r="C54" s="12">
        <v>46</v>
      </c>
      <c r="D54" s="8">
        <v>2.29</v>
      </c>
      <c r="E54" s="12">
        <v>3</v>
      </c>
      <c r="F54" s="8">
        <v>0.34</v>
      </c>
      <c r="G54" s="12">
        <v>43</v>
      </c>
      <c r="H54" s="8">
        <v>3.84</v>
      </c>
      <c r="I54" s="12">
        <v>0</v>
      </c>
    </row>
    <row r="55" spans="2:9" ht="15" customHeight="1" x14ac:dyDescent="0.2">
      <c r="B55" t="s">
        <v>163</v>
      </c>
      <c r="C55" s="12">
        <v>44</v>
      </c>
      <c r="D55" s="8">
        <v>2.19</v>
      </c>
      <c r="E55" s="12">
        <v>31</v>
      </c>
      <c r="F55" s="8">
        <v>3.55</v>
      </c>
      <c r="G55" s="12">
        <v>13</v>
      </c>
      <c r="H55" s="8">
        <v>1.1599999999999999</v>
      </c>
      <c r="I55" s="12">
        <v>0</v>
      </c>
    </row>
    <row r="56" spans="2:9" ht="15" customHeight="1" x14ac:dyDescent="0.2">
      <c r="B56" t="s">
        <v>156</v>
      </c>
      <c r="C56" s="12">
        <v>43</v>
      </c>
      <c r="D56" s="8">
        <v>2.14</v>
      </c>
      <c r="E56" s="12">
        <v>17</v>
      </c>
      <c r="F56" s="8">
        <v>1.95</v>
      </c>
      <c r="G56" s="12">
        <v>26</v>
      </c>
      <c r="H56" s="8">
        <v>2.3199999999999998</v>
      </c>
      <c r="I56" s="12">
        <v>0</v>
      </c>
    </row>
    <row r="57" spans="2:9" ht="15" customHeight="1" x14ac:dyDescent="0.2">
      <c r="B57" t="s">
        <v>152</v>
      </c>
      <c r="C57" s="12">
        <v>34</v>
      </c>
      <c r="D57" s="8">
        <v>1.69</v>
      </c>
      <c r="E57" s="12">
        <v>1</v>
      </c>
      <c r="F57" s="8">
        <v>0.11</v>
      </c>
      <c r="G57" s="12">
        <v>33</v>
      </c>
      <c r="H57" s="8">
        <v>2.94</v>
      </c>
      <c r="I57" s="12">
        <v>0</v>
      </c>
    </row>
    <row r="58" spans="2:9" ht="15" customHeight="1" x14ac:dyDescent="0.2">
      <c r="B58" t="s">
        <v>153</v>
      </c>
      <c r="C58" s="12">
        <v>34</v>
      </c>
      <c r="D58" s="8">
        <v>1.69</v>
      </c>
      <c r="E58" s="12">
        <v>4</v>
      </c>
      <c r="F58" s="8">
        <v>0.46</v>
      </c>
      <c r="G58" s="12">
        <v>30</v>
      </c>
      <c r="H58" s="8">
        <v>2.68</v>
      </c>
      <c r="I58" s="12">
        <v>0</v>
      </c>
    </row>
    <row r="59" spans="2:9" ht="15" customHeight="1" x14ac:dyDescent="0.2">
      <c r="B59" t="s">
        <v>154</v>
      </c>
      <c r="C59" s="12">
        <v>34</v>
      </c>
      <c r="D59" s="8">
        <v>1.69</v>
      </c>
      <c r="E59" s="12">
        <v>4</v>
      </c>
      <c r="F59" s="8">
        <v>0.46</v>
      </c>
      <c r="G59" s="12">
        <v>30</v>
      </c>
      <c r="H59" s="8">
        <v>2.68</v>
      </c>
      <c r="I59" s="12">
        <v>0</v>
      </c>
    </row>
    <row r="60" spans="2:9" ht="15" customHeight="1" x14ac:dyDescent="0.2">
      <c r="B60" t="s">
        <v>176</v>
      </c>
      <c r="C60" s="12">
        <v>34</v>
      </c>
      <c r="D60" s="8">
        <v>1.69</v>
      </c>
      <c r="E60" s="12">
        <v>33</v>
      </c>
      <c r="F60" s="8">
        <v>3.78</v>
      </c>
      <c r="G60" s="12">
        <v>1</v>
      </c>
      <c r="H60" s="8">
        <v>0.09</v>
      </c>
      <c r="I60" s="12">
        <v>0</v>
      </c>
    </row>
    <row r="61" spans="2:9" ht="15" customHeight="1" x14ac:dyDescent="0.2">
      <c r="B61" t="s">
        <v>160</v>
      </c>
      <c r="C61" s="12">
        <v>33</v>
      </c>
      <c r="D61" s="8">
        <v>1.64</v>
      </c>
      <c r="E61" s="12">
        <v>8</v>
      </c>
      <c r="F61" s="8">
        <v>0.92</v>
      </c>
      <c r="G61" s="12">
        <v>25</v>
      </c>
      <c r="H61" s="8">
        <v>2.23</v>
      </c>
      <c r="I61" s="12">
        <v>0</v>
      </c>
    </row>
    <row r="62" spans="2:9" ht="15" customHeight="1" x14ac:dyDescent="0.2">
      <c r="B62" t="s">
        <v>211</v>
      </c>
      <c r="C62" s="12">
        <v>33</v>
      </c>
      <c r="D62" s="8">
        <v>1.64</v>
      </c>
      <c r="E62" s="12">
        <v>1</v>
      </c>
      <c r="F62" s="8">
        <v>0.11</v>
      </c>
      <c r="G62" s="12">
        <v>31</v>
      </c>
      <c r="H62" s="8">
        <v>2.77</v>
      </c>
      <c r="I62" s="12">
        <v>0</v>
      </c>
    </row>
    <row r="63" spans="2:9" ht="15" customHeight="1" x14ac:dyDescent="0.2">
      <c r="B63" t="s">
        <v>169</v>
      </c>
      <c r="C63" s="12">
        <v>31</v>
      </c>
      <c r="D63" s="8">
        <v>1.54</v>
      </c>
      <c r="E63" s="12">
        <v>21</v>
      </c>
      <c r="F63" s="8">
        <v>2.41</v>
      </c>
      <c r="G63" s="12">
        <v>10</v>
      </c>
      <c r="H63" s="8">
        <v>0.89</v>
      </c>
      <c r="I63" s="12">
        <v>0</v>
      </c>
    </row>
    <row r="64" spans="2:9" ht="15" customHeight="1" x14ac:dyDescent="0.2">
      <c r="B64" t="s">
        <v>205</v>
      </c>
      <c r="C64" s="12">
        <v>29</v>
      </c>
      <c r="D64" s="8">
        <v>1.44</v>
      </c>
      <c r="E64" s="12">
        <v>13</v>
      </c>
      <c r="F64" s="8">
        <v>1.49</v>
      </c>
      <c r="G64" s="12">
        <v>16</v>
      </c>
      <c r="H64" s="8">
        <v>1.43</v>
      </c>
      <c r="I64" s="12">
        <v>0</v>
      </c>
    </row>
    <row r="65" spans="2:9" ht="15" customHeight="1" x14ac:dyDescent="0.2">
      <c r="B65" t="s">
        <v>157</v>
      </c>
      <c r="C65" s="12">
        <v>28</v>
      </c>
      <c r="D65" s="8">
        <v>1.39</v>
      </c>
      <c r="E65" s="12">
        <v>14</v>
      </c>
      <c r="F65" s="8">
        <v>1.6</v>
      </c>
      <c r="G65" s="12">
        <v>14</v>
      </c>
      <c r="H65" s="8">
        <v>1.25</v>
      </c>
      <c r="I65" s="12">
        <v>0</v>
      </c>
    </row>
    <row r="66" spans="2:9" ht="15" customHeight="1" x14ac:dyDescent="0.2">
      <c r="B66" t="s">
        <v>166</v>
      </c>
      <c r="C66" s="12">
        <v>24</v>
      </c>
      <c r="D66" s="8">
        <v>1.19</v>
      </c>
      <c r="E66" s="12">
        <v>11</v>
      </c>
      <c r="F66" s="8">
        <v>1.26</v>
      </c>
      <c r="G66" s="12">
        <v>13</v>
      </c>
      <c r="H66" s="8">
        <v>1.1599999999999999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3F58A-3D11-48A2-8D5D-57746C98E9F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319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281</v>
      </c>
      <c r="D6" s="8">
        <v>15.88</v>
      </c>
      <c r="E6" s="12">
        <v>65</v>
      </c>
      <c r="F6" s="8">
        <v>8.15</v>
      </c>
      <c r="G6" s="12">
        <v>216</v>
      </c>
      <c r="H6" s="8">
        <v>22.43</v>
      </c>
      <c r="I6" s="12">
        <v>0</v>
      </c>
    </row>
    <row r="7" spans="2:9" ht="15" customHeight="1" x14ac:dyDescent="0.2">
      <c r="B7" t="s">
        <v>73</v>
      </c>
      <c r="C7" s="12">
        <v>269</v>
      </c>
      <c r="D7" s="8">
        <v>15.21</v>
      </c>
      <c r="E7" s="12">
        <v>48</v>
      </c>
      <c r="F7" s="8">
        <v>6.02</v>
      </c>
      <c r="G7" s="12">
        <v>221</v>
      </c>
      <c r="H7" s="8">
        <v>22.95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0.11</v>
      </c>
      <c r="E8" s="12">
        <v>0</v>
      </c>
      <c r="F8" s="8">
        <v>0</v>
      </c>
      <c r="G8" s="12">
        <v>2</v>
      </c>
      <c r="H8" s="8">
        <v>0.21</v>
      </c>
      <c r="I8" s="12">
        <v>0</v>
      </c>
    </row>
    <row r="9" spans="2:9" ht="15" customHeight="1" x14ac:dyDescent="0.2">
      <c r="B9" t="s">
        <v>75</v>
      </c>
      <c r="C9" s="12">
        <v>9</v>
      </c>
      <c r="D9" s="8">
        <v>0.51</v>
      </c>
      <c r="E9" s="12">
        <v>1</v>
      </c>
      <c r="F9" s="8">
        <v>0.13</v>
      </c>
      <c r="G9" s="12">
        <v>8</v>
      </c>
      <c r="H9" s="8">
        <v>0.83</v>
      </c>
      <c r="I9" s="12">
        <v>0</v>
      </c>
    </row>
    <row r="10" spans="2:9" ht="15" customHeight="1" x14ac:dyDescent="0.2">
      <c r="B10" t="s">
        <v>76</v>
      </c>
      <c r="C10" s="12">
        <v>23</v>
      </c>
      <c r="D10" s="8">
        <v>1.3</v>
      </c>
      <c r="E10" s="12">
        <v>3</v>
      </c>
      <c r="F10" s="8">
        <v>0.38</v>
      </c>
      <c r="G10" s="12">
        <v>20</v>
      </c>
      <c r="H10" s="8">
        <v>2.08</v>
      </c>
      <c r="I10" s="12">
        <v>0</v>
      </c>
    </row>
    <row r="11" spans="2:9" ht="15" customHeight="1" x14ac:dyDescent="0.2">
      <c r="B11" t="s">
        <v>77</v>
      </c>
      <c r="C11" s="12">
        <v>323</v>
      </c>
      <c r="D11" s="8">
        <v>18.260000000000002</v>
      </c>
      <c r="E11" s="12">
        <v>124</v>
      </c>
      <c r="F11" s="8">
        <v>15.54</v>
      </c>
      <c r="G11" s="12">
        <v>198</v>
      </c>
      <c r="H11" s="8">
        <v>20.56</v>
      </c>
      <c r="I11" s="12">
        <v>1</v>
      </c>
    </row>
    <row r="12" spans="2:9" ht="15" customHeight="1" x14ac:dyDescent="0.2">
      <c r="B12" t="s">
        <v>78</v>
      </c>
      <c r="C12" s="12">
        <v>11</v>
      </c>
      <c r="D12" s="8">
        <v>0.62</v>
      </c>
      <c r="E12" s="12">
        <v>2</v>
      </c>
      <c r="F12" s="8">
        <v>0.25</v>
      </c>
      <c r="G12" s="12">
        <v>9</v>
      </c>
      <c r="H12" s="8">
        <v>0.93</v>
      </c>
      <c r="I12" s="12">
        <v>0</v>
      </c>
    </row>
    <row r="13" spans="2:9" ht="15" customHeight="1" x14ac:dyDescent="0.2">
      <c r="B13" t="s">
        <v>79</v>
      </c>
      <c r="C13" s="12">
        <v>200</v>
      </c>
      <c r="D13" s="8">
        <v>11.31</v>
      </c>
      <c r="E13" s="12">
        <v>111</v>
      </c>
      <c r="F13" s="8">
        <v>13.91</v>
      </c>
      <c r="G13" s="12">
        <v>89</v>
      </c>
      <c r="H13" s="8">
        <v>9.24</v>
      </c>
      <c r="I13" s="12">
        <v>0</v>
      </c>
    </row>
    <row r="14" spans="2:9" ht="15" customHeight="1" x14ac:dyDescent="0.2">
      <c r="B14" t="s">
        <v>80</v>
      </c>
      <c r="C14" s="12">
        <v>78</v>
      </c>
      <c r="D14" s="8">
        <v>4.41</v>
      </c>
      <c r="E14" s="12">
        <v>48</v>
      </c>
      <c r="F14" s="8">
        <v>6.02</v>
      </c>
      <c r="G14" s="12">
        <v>30</v>
      </c>
      <c r="H14" s="8">
        <v>3.12</v>
      </c>
      <c r="I14" s="12">
        <v>0</v>
      </c>
    </row>
    <row r="15" spans="2:9" ht="15" customHeight="1" x14ac:dyDescent="0.2">
      <c r="B15" t="s">
        <v>81</v>
      </c>
      <c r="C15" s="12">
        <v>153</v>
      </c>
      <c r="D15" s="8">
        <v>8.65</v>
      </c>
      <c r="E15" s="12">
        <v>111</v>
      </c>
      <c r="F15" s="8">
        <v>13.91</v>
      </c>
      <c r="G15" s="12">
        <v>42</v>
      </c>
      <c r="H15" s="8">
        <v>4.3600000000000003</v>
      </c>
      <c r="I15" s="12">
        <v>0</v>
      </c>
    </row>
    <row r="16" spans="2:9" ht="15" customHeight="1" x14ac:dyDescent="0.2">
      <c r="B16" t="s">
        <v>82</v>
      </c>
      <c r="C16" s="12">
        <v>204</v>
      </c>
      <c r="D16" s="8">
        <v>11.53</v>
      </c>
      <c r="E16" s="12">
        <v>153</v>
      </c>
      <c r="F16" s="8">
        <v>19.170000000000002</v>
      </c>
      <c r="G16" s="12">
        <v>50</v>
      </c>
      <c r="H16" s="8">
        <v>5.19</v>
      </c>
      <c r="I16" s="12">
        <v>1</v>
      </c>
    </row>
    <row r="17" spans="2:9" ht="15" customHeight="1" x14ac:dyDescent="0.2">
      <c r="B17" t="s">
        <v>83</v>
      </c>
      <c r="C17" s="12">
        <v>86</v>
      </c>
      <c r="D17" s="8">
        <v>4.8600000000000003</v>
      </c>
      <c r="E17" s="12">
        <v>66</v>
      </c>
      <c r="F17" s="8">
        <v>8.27</v>
      </c>
      <c r="G17" s="12">
        <v>17</v>
      </c>
      <c r="H17" s="8">
        <v>1.77</v>
      </c>
      <c r="I17" s="12">
        <v>2</v>
      </c>
    </row>
    <row r="18" spans="2:9" ht="15" customHeight="1" x14ac:dyDescent="0.2">
      <c r="B18" t="s">
        <v>84</v>
      </c>
      <c r="C18" s="12">
        <v>75</v>
      </c>
      <c r="D18" s="8">
        <v>4.24</v>
      </c>
      <c r="E18" s="12">
        <v>52</v>
      </c>
      <c r="F18" s="8">
        <v>6.52</v>
      </c>
      <c r="G18" s="12">
        <v>22</v>
      </c>
      <c r="H18" s="8">
        <v>2.2799999999999998</v>
      </c>
      <c r="I18" s="12">
        <v>1</v>
      </c>
    </row>
    <row r="19" spans="2:9" ht="15" customHeight="1" x14ac:dyDescent="0.2">
      <c r="B19" t="s">
        <v>85</v>
      </c>
      <c r="C19" s="12">
        <v>55</v>
      </c>
      <c r="D19" s="8">
        <v>3.11</v>
      </c>
      <c r="E19" s="12">
        <v>14</v>
      </c>
      <c r="F19" s="8">
        <v>1.75</v>
      </c>
      <c r="G19" s="12">
        <v>39</v>
      </c>
      <c r="H19" s="8">
        <v>4.05</v>
      </c>
      <c r="I19" s="12">
        <v>0</v>
      </c>
    </row>
    <row r="20" spans="2:9" ht="15" customHeight="1" x14ac:dyDescent="0.2">
      <c r="B20" s="9" t="s">
        <v>277</v>
      </c>
      <c r="C20" s="12">
        <f>SUM(LTBL_23223[総数／事業所数])</f>
        <v>1769</v>
      </c>
      <c r="E20" s="12">
        <f>SUBTOTAL(109,LTBL_23223[個人／事業所数])</f>
        <v>798</v>
      </c>
      <c r="G20" s="12">
        <f>SUBTOTAL(109,LTBL_23223[法人／事業所数])</f>
        <v>963</v>
      </c>
      <c r="I20" s="12">
        <f>SUBTOTAL(109,LTBL_23223[法人以外の団体／事業所数])</f>
        <v>5</v>
      </c>
    </row>
    <row r="21" spans="2:9" ht="15" customHeight="1" x14ac:dyDescent="0.2">
      <c r="E21" s="11">
        <f>LTBL_23223[[#Totals],[個人／事業所数]]/LTBL_23223[[#Totals],[総数／事業所数]]</f>
        <v>0.4511023176936122</v>
      </c>
      <c r="G21" s="11">
        <f>LTBL_23223[[#Totals],[法人／事業所数]]/LTBL_23223[[#Totals],[総数／事業所数]]</f>
        <v>0.54437535330695308</v>
      </c>
      <c r="I21" s="11">
        <f>LTBL_23223[[#Totals],[法人以外の団体／事業所数]]/LTBL_23223[[#Totals],[総数／事業所数]]</f>
        <v>2.8264556246466932E-3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176</v>
      </c>
      <c r="D24" s="8">
        <v>9.9499999999999993</v>
      </c>
      <c r="E24" s="12">
        <v>141</v>
      </c>
      <c r="F24" s="8">
        <v>17.670000000000002</v>
      </c>
      <c r="G24" s="12">
        <v>35</v>
      </c>
      <c r="H24" s="8">
        <v>3.63</v>
      </c>
      <c r="I24" s="12">
        <v>0</v>
      </c>
    </row>
    <row r="25" spans="2:9" ht="15" customHeight="1" x14ac:dyDescent="0.2">
      <c r="B25" t="s">
        <v>107</v>
      </c>
      <c r="C25" s="12">
        <v>161</v>
      </c>
      <c r="D25" s="8">
        <v>9.1</v>
      </c>
      <c r="E25" s="12">
        <v>96</v>
      </c>
      <c r="F25" s="8">
        <v>12.03</v>
      </c>
      <c r="G25" s="12">
        <v>65</v>
      </c>
      <c r="H25" s="8">
        <v>6.75</v>
      </c>
      <c r="I25" s="12">
        <v>0</v>
      </c>
    </row>
    <row r="26" spans="2:9" ht="15" customHeight="1" x14ac:dyDescent="0.2">
      <c r="B26" t="s">
        <v>110</v>
      </c>
      <c r="C26" s="12">
        <v>129</v>
      </c>
      <c r="D26" s="8">
        <v>7.29</v>
      </c>
      <c r="E26" s="12">
        <v>107</v>
      </c>
      <c r="F26" s="8">
        <v>13.41</v>
      </c>
      <c r="G26" s="12">
        <v>22</v>
      </c>
      <c r="H26" s="8">
        <v>2.2799999999999998</v>
      </c>
      <c r="I26" s="12">
        <v>0</v>
      </c>
    </row>
    <row r="27" spans="2:9" ht="15" customHeight="1" x14ac:dyDescent="0.2">
      <c r="B27" t="s">
        <v>94</v>
      </c>
      <c r="C27" s="12">
        <v>121</v>
      </c>
      <c r="D27" s="8">
        <v>6.84</v>
      </c>
      <c r="E27" s="12">
        <v>25</v>
      </c>
      <c r="F27" s="8">
        <v>3.13</v>
      </c>
      <c r="G27" s="12">
        <v>96</v>
      </c>
      <c r="H27" s="8">
        <v>9.9700000000000006</v>
      </c>
      <c r="I27" s="12">
        <v>0</v>
      </c>
    </row>
    <row r="28" spans="2:9" ht="15" customHeight="1" x14ac:dyDescent="0.2">
      <c r="B28" t="s">
        <v>105</v>
      </c>
      <c r="C28" s="12">
        <v>91</v>
      </c>
      <c r="D28" s="8">
        <v>5.14</v>
      </c>
      <c r="E28" s="12">
        <v>45</v>
      </c>
      <c r="F28" s="8">
        <v>5.64</v>
      </c>
      <c r="G28" s="12">
        <v>45</v>
      </c>
      <c r="H28" s="8">
        <v>4.67</v>
      </c>
      <c r="I28" s="12">
        <v>1</v>
      </c>
    </row>
    <row r="29" spans="2:9" ht="15" customHeight="1" x14ac:dyDescent="0.2">
      <c r="B29" t="s">
        <v>95</v>
      </c>
      <c r="C29" s="12">
        <v>87</v>
      </c>
      <c r="D29" s="8">
        <v>4.92</v>
      </c>
      <c r="E29" s="12">
        <v>25</v>
      </c>
      <c r="F29" s="8">
        <v>3.13</v>
      </c>
      <c r="G29" s="12">
        <v>62</v>
      </c>
      <c r="H29" s="8">
        <v>6.44</v>
      </c>
      <c r="I29" s="12">
        <v>0</v>
      </c>
    </row>
    <row r="30" spans="2:9" ht="15" customHeight="1" x14ac:dyDescent="0.2">
      <c r="B30" t="s">
        <v>112</v>
      </c>
      <c r="C30" s="12">
        <v>86</v>
      </c>
      <c r="D30" s="8">
        <v>4.8600000000000003</v>
      </c>
      <c r="E30" s="12">
        <v>66</v>
      </c>
      <c r="F30" s="8">
        <v>8.27</v>
      </c>
      <c r="G30" s="12">
        <v>17</v>
      </c>
      <c r="H30" s="8">
        <v>1.77</v>
      </c>
      <c r="I30" s="12">
        <v>2</v>
      </c>
    </row>
    <row r="31" spans="2:9" ht="15" customHeight="1" x14ac:dyDescent="0.2">
      <c r="B31" t="s">
        <v>96</v>
      </c>
      <c r="C31" s="12">
        <v>73</v>
      </c>
      <c r="D31" s="8">
        <v>4.13</v>
      </c>
      <c r="E31" s="12">
        <v>15</v>
      </c>
      <c r="F31" s="8">
        <v>1.88</v>
      </c>
      <c r="G31" s="12">
        <v>58</v>
      </c>
      <c r="H31" s="8">
        <v>6.02</v>
      </c>
      <c r="I31" s="12">
        <v>0</v>
      </c>
    </row>
    <row r="32" spans="2:9" ht="15" customHeight="1" x14ac:dyDescent="0.2">
      <c r="B32" t="s">
        <v>98</v>
      </c>
      <c r="C32" s="12">
        <v>67</v>
      </c>
      <c r="D32" s="8">
        <v>3.79</v>
      </c>
      <c r="E32" s="12">
        <v>11</v>
      </c>
      <c r="F32" s="8">
        <v>1.38</v>
      </c>
      <c r="G32" s="12">
        <v>56</v>
      </c>
      <c r="H32" s="8">
        <v>5.82</v>
      </c>
      <c r="I32" s="12">
        <v>0</v>
      </c>
    </row>
    <row r="33" spans="2:9" ht="15" customHeight="1" x14ac:dyDescent="0.2">
      <c r="B33" t="s">
        <v>97</v>
      </c>
      <c r="C33" s="12">
        <v>61</v>
      </c>
      <c r="D33" s="8">
        <v>3.45</v>
      </c>
      <c r="E33" s="12">
        <v>15</v>
      </c>
      <c r="F33" s="8">
        <v>1.88</v>
      </c>
      <c r="G33" s="12">
        <v>46</v>
      </c>
      <c r="H33" s="8">
        <v>4.78</v>
      </c>
      <c r="I33" s="12">
        <v>0</v>
      </c>
    </row>
    <row r="34" spans="2:9" ht="15" customHeight="1" x14ac:dyDescent="0.2">
      <c r="B34" t="s">
        <v>113</v>
      </c>
      <c r="C34" s="12">
        <v>56</v>
      </c>
      <c r="D34" s="8">
        <v>3.17</v>
      </c>
      <c r="E34" s="12">
        <v>49</v>
      </c>
      <c r="F34" s="8">
        <v>6.14</v>
      </c>
      <c r="G34" s="12">
        <v>7</v>
      </c>
      <c r="H34" s="8">
        <v>0.73</v>
      </c>
      <c r="I34" s="12">
        <v>0</v>
      </c>
    </row>
    <row r="35" spans="2:9" ht="15" customHeight="1" x14ac:dyDescent="0.2">
      <c r="B35" t="s">
        <v>104</v>
      </c>
      <c r="C35" s="12">
        <v>54</v>
      </c>
      <c r="D35" s="8">
        <v>3.05</v>
      </c>
      <c r="E35" s="12">
        <v>25</v>
      </c>
      <c r="F35" s="8">
        <v>3.13</v>
      </c>
      <c r="G35" s="12">
        <v>29</v>
      </c>
      <c r="H35" s="8">
        <v>3.01</v>
      </c>
      <c r="I35" s="12">
        <v>0</v>
      </c>
    </row>
    <row r="36" spans="2:9" ht="15" customHeight="1" x14ac:dyDescent="0.2">
      <c r="B36" t="s">
        <v>103</v>
      </c>
      <c r="C36" s="12">
        <v>48</v>
      </c>
      <c r="D36" s="8">
        <v>2.71</v>
      </c>
      <c r="E36" s="12">
        <v>25</v>
      </c>
      <c r="F36" s="8">
        <v>3.13</v>
      </c>
      <c r="G36" s="12">
        <v>23</v>
      </c>
      <c r="H36" s="8">
        <v>2.39</v>
      </c>
      <c r="I36" s="12">
        <v>0</v>
      </c>
    </row>
    <row r="37" spans="2:9" ht="15" customHeight="1" x14ac:dyDescent="0.2">
      <c r="B37" t="s">
        <v>108</v>
      </c>
      <c r="C37" s="12">
        <v>41</v>
      </c>
      <c r="D37" s="8">
        <v>2.3199999999999998</v>
      </c>
      <c r="E37" s="12">
        <v>29</v>
      </c>
      <c r="F37" s="8">
        <v>3.63</v>
      </c>
      <c r="G37" s="12">
        <v>12</v>
      </c>
      <c r="H37" s="8">
        <v>1.25</v>
      </c>
      <c r="I37" s="12">
        <v>0</v>
      </c>
    </row>
    <row r="38" spans="2:9" ht="15" customHeight="1" x14ac:dyDescent="0.2">
      <c r="B38" t="s">
        <v>109</v>
      </c>
      <c r="C38" s="12">
        <v>37</v>
      </c>
      <c r="D38" s="8">
        <v>2.09</v>
      </c>
      <c r="E38" s="12">
        <v>19</v>
      </c>
      <c r="F38" s="8">
        <v>2.38</v>
      </c>
      <c r="G38" s="12">
        <v>18</v>
      </c>
      <c r="H38" s="8">
        <v>1.87</v>
      </c>
      <c r="I38" s="12">
        <v>0</v>
      </c>
    </row>
    <row r="39" spans="2:9" ht="15" customHeight="1" x14ac:dyDescent="0.2">
      <c r="B39" t="s">
        <v>102</v>
      </c>
      <c r="C39" s="12">
        <v>33</v>
      </c>
      <c r="D39" s="8">
        <v>1.87</v>
      </c>
      <c r="E39" s="12">
        <v>16</v>
      </c>
      <c r="F39" s="8">
        <v>2.0099999999999998</v>
      </c>
      <c r="G39" s="12">
        <v>17</v>
      </c>
      <c r="H39" s="8">
        <v>1.77</v>
      </c>
      <c r="I39" s="12">
        <v>0</v>
      </c>
    </row>
    <row r="40" spans="2:9" ht="15" customHeight="1" x14ac:dyDescent="0.2">
      <c r="B40" t="s">
        <v>106</v>
      </c>
      <c r="C40" s="12">
        <v>27</v>
      </c>
      <c r="D40" s="8">
        <v>1.53</v>
      </c>
      <c r="E40" s="12">
        <v>12</v>
      </c>
      <c r="F40" s="8">
        <v>1.5</v>
      </c>
      <c r="G40" s="12">
        <v>15</v>
      </c>
      <c r="H40" s="8">
        <v>1.56</v>
      </c>
      <c r="I40" s="12">
        <v>0</v>
      </c>
    </row>
    <row r="41" spans="2:9" ht="15" customHeight="1" x14ac:dyDescent="0.2">
      <c r="B41" t="s">
        <v>124</v>
      </c>
      <c r="C41" s="12">
        <v>25</v>
      </c>
      <c r="D41" s="8">
        <v>1.41</v>
      </c>
      <c r="E41" s="12">
        <v>6</v>
      </c>
      <c r="F41" s="8">
        <v>0.75</v>
      </c>
      <c r="G41" s="12">
        <v>19</v>
      </c>
      <c r="H41" s="8">
        <v>1.97</v>
      </c>
      <c r="I41" s="12">
        <v>0</v>
      </c>
    </row>
    <row r="42" spans="2:9" ht="15" customHeight="1" x14ac:dyDescent="0.2">
      <c r="B42" t="s">
        <v>100</v>
      </c>
      <c r="C42" s="12">
        <v>25</v>
      </c>
      <c r="D42" s="8">
        <v>1.41</v>
      </c>
      <c r="E42" s="12">
        <v>4</v>
      </c>
      <c r="F42" s="8">
        <v>0.5</v>
      </c>
      <c r="G42" s="12">
        <v>21</v>
      </c>
      <c r="H42" s="8">
        <v>2.1800000000000002</v>
      </c>
      <c r="I42" s="12">
        <v>0</v>
      </c>
    </row>
    <row r="43" spans="2:9" ht="15" customHeight="1" x14ac:dyDescent="0.2">
      <c r="B43" t="s">
        <v>99</v>
      </c>
      <c r="C43" s="12">
        <v>24</v>
      </c>
      <c r="D43" s="8">
        <v>1.36</v>
      </c>
      <c r="E43" s="12">
        <v>4</v>
      </c>
      <c r="F43" s="8">
        <v>0.5</v>
      </c>
      <c r="G43" s="12">
        <v>20</v>
      </c>
      <c r="H43" s="8">
        <v>2.08</v>
      </c>
      <c r="I43" s="12">
        <v>0</v>
      </c>
    </row>
    <row r="44" spans="2:9" ht="15" customHeight="1" x14ac:dyDescent="0.2">
      <c r="B44" t="s">
        <v>101</v>
      </c>
      <c r="C44" s="12">
        <v>24</v>
      </c>
      <c r="D44" s="8">
        <v>1.36</v>
      </c>
      <c r="E44" s="12">
        <v>2</v>
      </c>
      <c r="F44" s="8">
        <v>0.25</v>
      </c>
      <c r="G44" s="12">
        <v>22</v>
      </c>
      <c r="H44" s="8">
        <v>2.2799999999999998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161</v>
      </c>
      <c r="C48" s="12">
        <v>119</v>
      </c>
      <c r="D48" s="8">
        <v>6.73</v>
      </c>
      <c r="E48" s="12">
        <v>85</v>
      </c>
      <c r="F48" s="8">
        <v>10.65</v>
      </c>
      <c r="G48" s="12">
        <v>34</v>
      </c>
      <c r="H48" s="8">
        <v>3.53</v>
      </c>
      <c r="I48" s="12">
        <v>0</v>
      </c>
    </row>
    <row r="49" spans="2:9" ht="15" customHeight="1" x14ac:dyDescent="0.2">
      <c r="B49" t="s">
        <v>168</v>
      </c>
      <c r="C49" s="12">
        <v>84</v>
      </c>
      <c r="D49" s="8">
        <v>4.75</v>
      </c>
      <c r="E49" s="12">
        <v>64</v>
      </c>
      <c r="F49" s="8">
        <v>8.02</v>
      </c>
      <c r="G49" s="12">
        <v>20</v>
      </c>
      <c r="H49" s="8">
        <v>2.08</v>
      </c>
      <c r="I49" s="12">
        <v>0</v>
      </c>
    </row>
    <row r="50" spans="2:9" ht="15" customHeight="1" x14ac:dyDescent="0.2">
      <c r="B50" t="s">
        <v>170</v>
      </c>
      <c r="C50" s="12">
        <v>59</v>
      </c>
      <c r="D50" s="8">
        <v>3.34</v>
      </c>
      <c r="E50" s="12">
        <v>52</v>
      </c>
      <c r="F50" s="8">
        <v>6.52</v>
      </c>
      <c r="G50" s="12">
        <v>6</v>
      </c>
      <c r="H50" s="8">
        <v>0.62</v>
      </c>
      <c r="I50" s="12">
        <v>1</v>
      </c>
    </row>
    <row r="51" spans="2:9" ht="15" customHeight="1" x14ac:dyDescent="0.2">
      <c r="B51" t="s">
        <v>167</v>
      </c>
      <c r="C51" s="12">
        <v>52</v>
      </c>
      <c r="D51" s="8">
        <v>2.94</v>
      </c>
      <c r="E51" s="12">
        <v>50</v>
      </c>
      <c r="F51" s="8">
        <v>6.27</v>
      </c>
      <c r="G51" s="12">
        <v>2</v>
      </c>
      <c r="H51" s="8">
        <v>0.21</v>
      </c>
      <c r="I51" s="12">
        <v>0</v>
      </c>
    </row>
    <row r="52" spans="2:9" ht="15" customHeight="1" x14ac:dyDescent="0.2">
      <c r="B52" t="s">
        <v>171</v>
      </c>
      <c r="C52" s="12">
        <v>42</v>
      </c>
      <c r="D52" s="8">
        <v>2.37</v>
      </c>
      <c r="E52" s="12">
        <v>37</v>
      </c>
      <c r="F52" s="8">
        <v>4.6399999999999997</v>
      </c>
      <c r="G52" s="12">
        <v>5</v>
      </c>
      <c r="H52" s="8">
        <v>0.52</v>
      </c>
      <c r="I52" s="12">
        <v>0</v>
      </c>
    </row>
    <row r="53" spans="2:9" ht="15" customHeight="1" x14ac:dyDescent="0.2">
      <c r="B53" t="s">
        <v>153</v>
      </c>
      <c r="C53" s="12">
        <v>41</v>
      </c>
      <c r="D53" s="8">
        <v>2.3199999999999998</v>
      </c>
      <c r="E53" s="12">
        <v>2</v>
      </c>
      <c r="F53" s="8">
        <v>0.25</v>
      </c>
      <c r="G53" s="12">
        <v>39</v>
      </c>
      <c r="H53" s="8">
        <v>4.05</v>
      </c>
      <c r="I53" s="12">
        <v>0</v>
      </c>
    </row>
    <row r="54" spans="2:9" ht="15" customHeight="1" x14ac:dyDescent="0.2">
      <c r="B54" t="s">
        <v>156</v>
      </c>
      <c r="C54" s="12">
        <v>41</v>
      </c>
      <c r="D54" s="8">
        <v>2.3199999999999998</v>
      </c>
      <c r="E54" s="12">
        <v>21</v>
      </c>
      <c r="F54" s="8">
        <v>2.63</v>
      </c>
      <c r="G54" s="12">
        <v>20</v>
      </c>
      <c r="H54" s="8">
        <v>2.08</v>
      </c>
      <c r="I54" s="12">
        <v>0</v>
      </c>
    </row>
    <row r="55" spans="2:9" ht="15" customHeight="1" x14ac:dyDescent="0.2">
      <c r="B55" t="s">
        <v>164</v>
      </c>
      <c r="C55" s="12">
        <v>38</v>
      </c>
      <c r="D55" s="8">
        <v>2.15</v>
      </c>
      <c r="E55" s="12">
        <v>36</v>
      </c>
      <c r="F55" s="8">
        <v>4.51</v>
      </c>
      <c r="G55" s="12">
        <v>2</v>
      </c>
      <c r="H55" s="8">
        <v>0.21</v>
      </c>
      <c r="I55" s="12">
        <v>0</v>
      </c>
    </row>
    <row r="56" spans="2:9" ht="15" customHeight="1" x14ac:dyDescent="0.2">
      <c r="B56" t="s">
        <v>205</v>
      </c>
      <c r="C56" s="12">
        <v>31</v>
      </c>
      <c r="D56" s="8">
        <v>1.75</v>
      </c>
      <c r="E56" s="12">
        <v>15</v>
      </c>
      <c r="F56" s="8">
        <v>1.88</v>
      </c>
      <c r="G56" s="12">
        <v>16</v>
      </c>
      <c r="H56" s="8">
        <v>1.66</v>
      </c>
      <c r="I56" s="12">
        <v>0</v>
      </c>
    </row>
    <row r="57" spans="2:9" ht="15" customHeight="1" x14ac:dyDescent="0.2">
      <c r="B57" t="s">
        <v>201</v>
      </c>
      <c r="C57" s="12">
        <v>30</v>
      </c>
      <c r="D57" s="8">
        <v>1.7</v>
      </c>
      <c r="E57" s="12">
        <v>3</v>
      </c>
      <c r="F57" s="8">
        <v>0.38</v>
      </c>
      <c r="G57" s="12">
        <v>27</v>
      </c>
      <c r="H57" s="8">
        <v>2.8</v>
      </c>
      <c r="I57" s="12">
        <v>0</v>
      </c>
    </row>
    <row r="58" spans="2:9" ht="15" customHeight="1" x14ac:dyDescent="0.2">
      <c r="B58" t="s">
        <v>163</v>
      </c>
      <c r="C58" s="12">
        <v>29</v>
      </c>
      <c r="D58" s="8">
        <v>1.64</v>
      </c>
      <c r="E58" s="12">
        <v>20</v>
      </c>
      <c r="F58" s="8">
        <v>2.5099999999999998</v>
      </c>
      <c r="G58" s="12">
        <v>9</v>
      </c>
      <c r="H58" s="8">
        <v>0.93</v>
      </c>
      <c r="I58" s="12">
        <v>0</v>
      </c>
    </row>
    <row r="59" spans="2:9" ht="15" customHeight="1" x14ac:dyDescent="0.2">
      <c r="B59" t="s">
        <v>155</v>
      </c>
      <c r="C59" s="12">
        <v>28</v>
      </c>
      <c r="D59" s="8">
        <v>1.58</v>
      </c>
      <c r="E59" s="12">
        <v>7</v>
      </c>
      <c r="F59" s="8">
        <v>0.88</v>
      </c>
      <c r="G59" s="12">
        <v>21</v>
      </c>
      <c r="H59" s="8">
        <v>2.1800000000000002</v>
      </c>
      <c r="I59" s="12">
        <v>0</v>
      </c>
    </row>
    <row r="60" spans="2:9" ht="15" customHeight="1" x14ac:dyDescent="0.2">
      <c r="B60" t="s">
        <v>196</v>
      </c>
      <c r="C60" s="12">
        <v>27</v>
      </c>
      <c r="D60" s="8">
        <v>1.53</v>
      </c>
      <c r="E60" s="12">
        <v>8</v>
      </c>
      <c r="F60" s="8">
        <v>1</v>
      </c>
      <c r="G60" s="12">
        <v>19</v>
      </c>
      <c r="H60" s="8">
        <v>1.97</v>
      </c>
      <c r="I60" s="12">
        <v>0</v>
      </c>
    </row>
    <row r="61" spans="2:9" ht="15" customHeight="1" x14ac:dyDescent="0.2">
      <c r="B61" t="s">
        <v>152</v>
      </c>
      <c r="C61" s="12">
        <v>25</v>
      </c>
      <c r="D61" s="8">
        <v>1.41</v>
      </c>
      <c r="E61" s="12">
        <v>3</v>
      </c>
      <c r="F61" s="8">
        <v>0.38</v>
      </c>
      <c r="G61" s="12">
        <v>22</v>
      </c>
      <c r="H61" s="8">
        <v>2.2799999999999998</v>
      </c>
      <c r="I61" s="12">
        <v>0</v>
      </c>
    </row>
    <row r="62" spans="2:9" ht="15" customHeight="1" x14ac:dyDescent="0.2">
      <c r="B62" t="s">
        <v>154</v>
      </c>
      <c r="C62" s="12">
        <v>25</v>
      </c>
      <c r="D62" s="8">
        <v>1.41</v>
      </c>
      <c r="E62" s="12">
        <v>7</v>
      </c>
      <c r="F62" s="8">
        <v>0.88</v>
      </c>
      <c r="G62" s="12">
        <v>18</v>
      </c>
      <c r="H62" s="8">
        <v>1.87</v>
      </c>
      <c r="I62" s="12">
        <v>0</v>
      </c>
    </row>
    <row r="63" spans="2:9" ht="15" customHeight="1" x14ac:dyDescent="0.2">
      <c r="B63" t="s">
        <v>197</v>
      </c>
      <c r="C63" s="12">
        <v>25</v>
      </c>
      <c r="D63" s="8">
        <v>1.41</v>
      </c>
      <c r="E63" s="12">
        <v>4</v>
      </c>
      <c r="F63" s="8">
        <v>0.5</v>
      </c>
      <c r="G63" s="12">
        <v>21</v>
      </c>
      <c r="H63" s="8">
        <v>2.1800000000000002</v>
      </c>
      <c r="I63" s="12">
        <v>0</v>
      </c>
    </row>
    <row r="64" spans="2:9" ht="15" customHeight="1" x14ac:dyDescent="0.2">
      <c r="B64" t="s">
        <v>176</v>
      </c>
      <c r="C64" s="12">
        <v>25</v>
      </c>
      <c r="D64" s="8">
        <v>1.41</v>
      </c>
      <c r="E64" s="12">
        <v>25</v>
      </c>
      <c r="F64" s="8">
        <v>3.13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169</v>
      </c>
      <c r="C65" s="12">
        <v>25</v>
      </c>
      <c r="D65" s="8">
        <v>1.41</v>
      </c>
      <c r="E65" s="12">
        <v>14</v>
      </c>
      <c r="F65" s="8">
        <v>1.75</v>
      </c>
      <c r="G65" s="12">
        <v>10</v>
      </c>
      <c r="H65" s="8">
        <v>1.04</v>
      </c>
      <c r="I65" s="12">
        <v>1</v>
      </c>
    </row>
    <row r="66" spans="2:9" ht="15" customHeight="1" x14ac:dyDescent="0.2">
      <c r="B66" t="s">
        <v>157</v>
      </c>
      <c r="C66" s="12">
        <v>24</v>
      </c>
      <c r="D66" s="8">
        <v>1.36</v>
      </c>
      <c r="E66" s="12">
        <v>13</v>
      </c>
      <c r="F66" s="8">
        <v>1.63</v>
      </c>
      <c r="G66" s="12">
        <v>11</v>
      </c>
      <c r="H66" s="8">
        <v>1.1399999999999999</v>
      </c>
      <c r="I66" s="12">
        <v>0</v>
      </c>
    </row>
    <row r="67" spans="2:9" ht="15" customHeight="1" x14ac:dyDescent="0.2">
      <c r="B67" t="s">
        <v>158</v>
      </c>
      <c r="C67" s="12">
        <v>24</v>
      </c>
      <c r="D67" s="8">
        <v>1.36</v>
      </c>
      <c r="E67" s="12">
        <v>14</v>
      </c>
      <c r="F67" s="8">
        <v>1.75</v>
      </c>
      <c r="G67" s="12">
        <v>10</v>
      </c>
      <c r="H67" s="8">
        <v>1.04</v>
      </c>
      <c r="I67" s="12">
        <v>0</v>
      </c>
    </row>
    <row r="68" spans="2:9" ht="15" customHeight="1" x14ac:dyDescent="0.2">
      <c r="B68" t="s">
        <v>160</v>
      </c>
      <c r="C68" s="12">
        <v>24</v>
      </c>
      <c r="D68" s="8">
        <v>1.36</v>
      </c>
      <c r="E68" s="12">
        <v>6</v>
      </c>
      <c r="F68" s="8">
        <v>0.75</v>
      </c>
      <c r="G68" s="12">
        <v>18</v>
      </c>
      <c r="H68" s="8">
        <v>1.87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B080-6AEE-4E91-BC33-730EB6ACEEB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320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234</v>
      </c>
      <c r="D6" s="8">
        <v>18.559999999999999</v>
      </c>
      <c r="E6" s="12">
        <v>55</v>
      </c>
      <c r="F6" s="8">
        <v>8.16</v>
      </c>
      <c r="G6" s="12">
        <v>179</v>
      </c>
      <c r="H6" s="8">
        <v>31.57</v>
      </c>
      <c r="I6" s="12">
        <v>0</v>
      </c>
    </row>
    <row r="7" spans="2:9" ht="15" customHeight="1" x14ac:dyDescent="0.2">
      <c r="B7" t="s">
        <v>73</v>
      </c>
      <c r="C7" s="12">
        <v>75</v>
      </c>
      <c r="D7" s="8">
        <v>5.95</v>
      </c>
      <c r="E7" s="12">
        <v>33</v>
      </c>
      <c r="F7" s="8">
        <v>4.9000000000000004</v>
      </c>
      <c r="G7" s="12">
        <v>42</v>
      </c>
      <c r="H7" s="8">
        <v>7.41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0.16</v>
      </c>
      <c r="E8" s="12">
        <v>0</v>
      </c>
      <c r="F8" s="8">
        <v>0</v>
      </c>
      <c r="G8" s="12">
        <v>2</v>
      </c>
      <c r="H8" s="8">
        <v>0.35</v>
      </c>
      <c r="I8" s="12">
        <v>0</v>
      </c>
    </row>
    <row r="9" spans="2:9" ht="15" customHeight="1" x14ac:dyDescent="0.2">
      <c r="B9" t="s">
        <v>75</v>
      </c>
      <c r="C9" s="12">
        <v>8</v>
      </c>
      <c r="D9" s="8">
        <v>0.63</v>
      </c>
      <c r="E9" s="12">
        <v>0</v>
      </c>
      <c r="F9" s="8">
        <v>0</v>
      </c>
      <c r="G9" s="12">
        <v>8</v>
      </c>
      <c r="H9" s="8">
        <v>1.41</v>
      </c>
      <c r="I9" s="12">
        <v>0</v>
      </c>
    </row>
    <row r="10" spans="2:9" ht="15" customHeight="1" x14ac:dyDescent="0.2">
      <c r="B10" t="s">
        <v>76</v>
      </c>
      <c r="C10" s="12">
        <v>18</v>
      </c>
      <c r="D10" s="8">
        <v>1.43</v>
      </c>
      <c r="E10" s="12">
        <v>0</v>
      </c>
      <c r="F10" s="8">
        <v>0</v>
      </c>
      <c r="G10" s="12">
        <v>18</v>
      </c>
      <c r="H10" s="8">
        <v>3.17</v>
      </c>
      <c r="I10" s="12">
        <v>0</v>
      </c>
    </row>
    <row r="11" spans="2:9" ht="15" customHeight="1" x14ac:dyDescent="0.2">
      <c r="B11" t="s">
        <v>77</v>
      </c>
      <c r="C11" s="12">
        <v>237</v>
      </c>
      <c r="D11" s="8">
        <v>18.79</v>
      </c>
      <c r="E11" s="12">
        <v>137</v>
      </c>
      <c r="F11" s="8">
        <v>20.329999999999998</v>
      </c>
      <c r="G11" s="12">
        <v>99</v>
      </c>
      <c r="H11" s="8">
        <v>17.46</v>
      </c>
      <c r="I11" s="12">
        <v>1</v>
      </c>
    </row>
    <row r="12" spans="2:9" ht="15" customHeight="1" x14ac:dyDescent="0.2">
      <c r="B12" t="s">
        <v>78</v>
      </c>
      <c r="C12" s="12">
        <v>5</v>
      </c>
      <c r="D12" s="8">
        <v>0.4</v>
      </c>
      <c r="E12" s="12">
        <v>0</v>
      </c>
      <c r="F12" s="8">
        <v>0</v>
      </c>
      <c r="G12" s="12">
        <v>5</v>
      </c>
      <c r="H12" s="8">
        <v>0.88</v>
      </c>
      <c r="I12" s="12">
        <v>0</v>
      </c>
    </row>
    <row r="13" spans="2:9" ht="15" customHeight="1" x14ac:dyDescent="0.2">
      <c r="B13" t="s">
        <v>79</v>
      </c>
      <c r="C13" s="12">
        <v>120</v>
      </c>
      <c r="D13" s="8">
        <v>9.52</v>
      </c>
      <c r="E13" s="12">
        <v>66</v>
      </c>
      <c r="F13" s="8">
        <v>9.7899999999999991</v>
      </c>
      <c r="G13" s="12">
        <v>54</v>
      </c>
      <c r="H13" s="8">
        <v>9.52</v>
      </c>
      <c r="I13" s="12">
        <v>0</v>
      </c>
    </row>
    <row r="14" spans="2:9" ht="15" customHeight="1" x14ac:dyDescent="0.2">
      <c r="B14" t="s">
        <v>80</v>
      </c>
      <c r="C14" s="12">
        <v>51</v>
      </c>
      <c r="D14" s="8">
        <v>4.04</v>
      </c>
      <c r="E14" s="12">
        <v>26</v>
      </c>
      <c r="F14" s="8">
        <v>3.86</v>
      </c>
      <c r="G14" s="12">
        <v>25</v>
      </c>
      <c r="H14" s="8">
        <v>4.41</v>
      </c>
      <c r="I14" s="12">
        <v>0</v>
      </c>
    </row>
    <row r="15" spans="2:9" ht="15" customHeight="1" x14ac:dyDescent="0.2">
      <c r="B15" t="s">
        <v>81</v>
      </c>
      <c r="C15" s="12">
        <v>151</v>
      </c>
      <c r="D15" s="8">
        <v>11.97</v>
      </c>
      <c r="E15" s="12">
        <v>119</v>
      </c>
      <c r="F15" s="8">
        <v>17.66</v>
      </c>
      <c r="G15" s="12">
        <v>31</v>
      </c>
      <c r="H15" s="8">
        <v>5.47</v>
      </c>
      <c r="I15" s="12">
        <v>0</v>
      </c>
    </row>
    <row r="16" spans="2:9" ht="15" customHeight="1" x14ac:dyDescent="0.2">
      <c r="B16" t="s">
        <v>82</v>
      </c>
      <c r="C16" s="12">
        <v>170</v>
      </c>
      <c r="D16" s="8">
        <v>13.48</v>
      </c>
      <c r="E16" s="12">
        <v>127</v>
      </c>
      <c r="F16" s="8">
        <v>18.84</v>
      </c>
      <c r="G16" s="12">
        <v>34</v>
      </c>
      <c r="H16" s="8">
        <v>6</v>
      </c>
      <c r="I16" s="12">
        <v>0</v>
      </c>
    </row>
    <row r="17" spans="2:9" ht="15" customHeight="1" x14ac:dyDescent="0.2">
      <c r="B17" t="s">
        <v>83</v>
      </c>
      <c r="C17" s="12">
        <v>61</v>
      </c>
      <c r="D17" s="8">
        <v>4.84</v>
      </c>
      <c r="E17" s="12">
        <v>50</v>
      </c>
      <c r="F17" s="8">
        <v>7.42</v>
      </c>
      <c r="G17" s="12">
        <v>9</v>
      </c>
      <c r="H17" s="8">
        <v>1.59</v>
      </c>
      <c r="I17" s="12">
        <v>0</v>
      </c>
    </row>
    <row r="18" spans="2:9" ht="15" customHeight="1" x14ac:dyDescent="0.2">
      <c r="B18" t="s">
        <v>84</v>
      </c>
      <c r="C18" s="12">
        <v>82</v>
      </c>
      <c r="D18" s="8">
        <v>6.5</v>
      </c>
      <c r="E18" s="12">
        <v>48</v>
      </c>
      <c r="F18" s="8">
        <v>7.12</v>
      </c>
      <c r="G18" s="12">
        <v>30</v>
      </c>
      <c r="H18" s="8">
        <v>5.29</v>
      </c>
      <c r="I18" s="12">
        <v>0</v>
      </c>
    </row>
    <row r="19" spans="2:9" ht="15" customHeight="1" x14ac:dyDescent="0.2">
      <c r="B19" t="s">
        <v>85</v>
      </c>
      <c r="C19" s="12">
        <v>47</v>
      </c>
      <c r="D19" s="8">
        <v>3.73</v>
      </c>
      <c r="E19" s="12">
        <v>13</v>
      </c>
      <c r="F19" s="8">
        <v>1.93</v>
      </c>
      <c r="G19" s="12">
        <v>31</v>
      </c>
      <c r="H19" s="8">
        <v>5.47</v>
      </c>
      <c r="I19" s="12">
        <v>1</v>
      </c>
    </row>
    <row r="20" spans="2:9" ht="15" customHeight="1" x14ac:dyDescent="0.2">
      <c r="B20" s="9" t="s">
        <v>277</v>
      </c>
      <c r="C20" s="12">
        <f>SUM(LTBL_23224[総数／事業所数])</f>
        <v>1261</v>
      </c>
      <c r="E20" s="12">
        <f>SUBTOTAL(109,LTBL_23224[個人／事業所数])</f>
        <v>674</v>
      </c>
      <c r="G20" s="12">
        <f>SUBTOTAL(109,LTBL_23224[法人／事業所数])</f>
        <v>567</v>
      </c>
      <c r="I20" s="12">
        <f>SUBTOTAL(109,LTBL_23224[法人以外の団体／事業所数])</f>
        <v>2</v>
      </c>
    </row>
    <row r="21" spans="2:9" ht="15" customHeight="1" x14ac:dyDescent="0.2">
      <c r="E21" s="11">
        <f>LTBL_23224[[#Totals],[個人／事業所数]]/LTBL_23224[[#Totals],[総数／事業所数]]</f>
        <v>0.53449643140364789</v>
      </c>
      <c r="G21" s="11">
        <f>LTBL_23224[[#Totals],[法人／事業所数]]/LTBL_23224[[#Totals],[総数／事業所数]]</f>
        <v>0.44964314036478986</v>
      </c>
      <c r="I21" s="11">
        <f>LTBL_23224[[#Totals],[法人以外の団体／事業所数]]/LTBL_23224[[#Totals],[総数／事業所数]]</f>
        <v>1.5860428231562252E-3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141</v>
      </c>
      <c r="D24" s="8">
        <v>11.18</v>
      </c>
      <c r="E24" s="12">
        <v>120</v>
      </c>
      <c r="F24" s="8">
        <v>17.8</v>
      </c>
      <c r="G24" s="12">
        <v>21</v>
      </c>
      <c r="H24" s="8">
        <v>3.7</v>
      </c>
      <c r="I24" s="12">
        <v>0</v>
      </c>
    </row>
    <row r="25" spans="2:9" ht="15" customHeight="1" x14ac:dyDescent="0.2">
      <c r="B25" t="s">
        <v>110</v>
      </c>
      <c r="C25" s="12">
        <v>131</v>
      </c>
      <c r="D25" s="8">
        <v>10.39</v>
      </c>
      <c r="E25" s="12">
        <v>116</v>
      </c>
      <c r="F25" s="8">
        <v>17.21</v>
      </c>
      <c r="G25" s="12">
        <v>15</v>
      </c>
      <c r="H25" s="8">
        <v>2.65</v>
      </c>
      <c r="I25" s="12">
        <v>0</v>
      </c>
    </row>
    <row r="26" spans="2:9" ht="15" customHeight="1" x14ac:dyDescent="0.2">
      <c r="B26" t="s">
        <v>107</v>
      </c>
      <c r="C26" s="12">
        <v>99</v>
      </c>
      <c r="D26" s="8">
        <v>7.85</v>
      </c>
      <c r="E26" s="12">
        <v>60</v>
      </c>
      <c r="F26" s="8">
        <v>8.9</v>
      </c>
      <c r="G26" s="12">
        <v>39</v>
      </c>
      <c r="H26" s="8">
        <v>6.88</v>
      </c>
      <c r="I26" s="12">
        <v>0</v>
      </c>
    </row>
    <row r="27" spans="2:9" ht="15" customHeight="1" x14ac:dyDescent="0.2">
      <c r="B27" t="s">
        <v>95</v>
      </c>
      <c r="C27" s="12">
        <v>83</v>
      </c>
      <c r="D27" s="8">
        <v>6.58</v>
      </c>
      <c r="E27" s="12">
        <v>22</v>
      </c>
      <c r="F27" s="8">
        <v>3.26</v>
      </c>
      <c r="G27" s="12">
        <v>61</v>
      </c>
      <c r="H27" s="8">
        <v>10.76</v>
      </c>
      <c r="I27" s="12">
        <v>0</v>
      </c>
    </row>
    <row r="28" spans="2:9" ht="15" customHeight="1" x14ac:dyDescent="0.2">
      <c r="B28" t="s">
        <v>96</v>
      </c>
      <c r="C28" s="12">
        <v>83</v>
      </c>
      <c r="D28" s="8">
        <v>6.58</v>
      </c>
      <c r="E28" s="12">
        <v>16</v>
      </c>
      <c r="F28" s="8">
        <v>2.37</v>
      </c>
      <c r="G28" s="12">
        <v>67</v>
      </c>
      <c r="H28" s="8">
        <v>11.82</v>
      </c>
      <c r="I28" s="12">
        <v>0</v>
      </c>
    </row>
    <row r="29" spans="2:9" ht="15" customHeight="1" x14ac:dyDescent="0.2">
      <c r="B29" t="s">
        <v>105</v>
      </c>
      <c r="C29" s="12">
        <v>78</v>
      </c>
      <c r="D29" s="8">
        <v>6.19</v>
      </c>
      <c r="E29" s="12">
        <v>41</v>
      </c>
      <c r="F29" s="8">
        <v>6.08</v>
      </c>
      <c r="G29" s="12">
        <v>37</v>
      </c>
      <c r="H29" s="8">
        <v>6.53</v>
      </c>
      <c r="I29" s="12">
        <v>0</v>
      </c>
    </row>
    <row r="30" spans="2:9" ht="15" customHeight="1" x14ac:dyDescent="0.2">
      <c r="B30" t="s">
        <v>94</v>
      </c>
      <c r="C30" s="12">
        <v>68</v>
      </c>
      <c r="D30" s="8">
        <v>5.39</v>
      </c>
      <c r="E30" s="12">
        <v>17</v>
      </c>
      <c r="F30" s="8">
        <v>2.52</v>
      </c>
      <c r="G30" s="12">
        <v>51</v>
      </c>
      <c r="H30" s="8">
        <v>8.99</v>
      </c>
      <c r="I30" s="12">
        <v>0</v>
      </c>
    </row>
    <row r="31" spans="2:9" ht="15" customHeight="1" x14ac:dyDescent="0.2">
      <c r="B31" t="s">
        <v>112</v>
      </c>
      <c r="C31" s="12">
        <v>61</v>
      </c>
      <c r="D31" s="8">
        <v>4.84</v>
      </c>
      <c r="E31" s="12">
        <v>50</v>
      </c>
      <c r="F31" s="8">
        <v>7.42</v>
      </c>
      <c r="G31" s="12">
        <v>9</v>
      </c>
      <c r="H31" s="8">
        <v>1.59</v>
      </c>
      <c r="I31" s="12">
        <v>0</v>
      </c>
    </row>
    <row r="32" spans="2:9" ht="15" customHeight="1" x14ac:dyDescent="0.2">
      <c r="B32" t="s">
        <v>113</v>
      </c>
      <c r="C32" s="12">
        <v>60</v>
      </c>
      <c r="D32" s="8">
        <v>4.76</v>
      </c>
      <c r="E32" s="12">
        <v>48</v>
      </c>
      <c r="F32" s="8">
        <v>7.12</v>
      </c>
      <c r="G32" s="12">
        <v>12</v>
      </c>
      <c r="H32" s="8">
        <v>2.12</v>
      </c>
      <c r="I32" s="12">
        <v>0</v>
      </c>
    </row>
    <row r="33" spans="2:9" ht="15" customHeight="1" x14ac:dyDescent="0.2">
      <c r="B33" t="s">
        <v>103</v>
      </c>
      <c r="C33" s="12">
        <v>43</v>
      </c>
      <c r="D33" s="8">
        <v>3.41</v>
      </c>
      <c r="E33" s="12">
        <v>37</v>
      </c>
      <c r="F33" s="8">
        <v>5.49</v>
      </c>
      <c r="G33" s="12">
        <v>5</v>
      </c>
      <c r="H33" s="8">
        <v>0.88</v>
      </c>
      <c r="I33" s="12">
        <v>1</v>
      </c>
    </row>
    <row r="34" spans="2:9" ht="15" customHeight="1" x14ac:dyDescent="0.2">
      <c r="B34" t="s">
        <v>104</v>
      </c>
      <c r="C34" s="12">
        <v>36</v>
      </c>
      <c r="D34" s="8">
        <v>2.85</v>
      </c>
      <c r="E34" s="12">
        <v>26</v>
      </c>
      <c r="F34" s="8">
        <v>3.86</v>
      </c>
      <c r="G34" s="12">
        <v>10</v>
      </c>
      <c r="H34" s="8">
        <v>1.76</v>
      </c>
      <c r="I34" s="12">
        <v>0</v>
      </c>
    </row>
    <row r="35" spans="2:9" ht="15" customHeight="1" x14ac:dyDescent="0.2">
      <c r="B35" t="s">
        <v>108</v>
      </c>
      <c r="C35" s="12">
        <v>28</v>
      </c>
      <c r="D35" s="8">
        <v>2.2200000000000002</v>
      </c>
      <c r="E35" s="12">
        <v>17</v>
      </c>
      <c r="F35" s="8">
        <v>2.52</v>
      </c>
      <c r="G35" s="12">
        <v>11</v>
      </c>
      <c r="H35" s="8">
        <v>1.94</v>
      </c>
      <c r="I35" s="12">
        <v>0</v>
      </c>
    </row>
    <row r="36" spans="2:9" ht="15" customHeight="1" x14ac:dyDescent="0.2">
      <c r="B36" t="s">
        <v>115</v>
      </c>
      <c r="C36" s="12">
        <v>23</v>
      </c>
      <c r="D36" s="8">
        <v>1.82</v>
      </c>
      <c r="E36" s="12">
        <v>5</v>
      </c>
      <c r="F36" s="8">
        <v>0.74</v>
      </c>
      <c r="G36" s="12">
        <v>9</v>
      </c>
      <c r="H36" s="8">
        <v>1.59</v>
      </c>
      <c r="I36" s="12">
        <v>0</v>
      </c>
    </row>
    <row r="37" spans="2:9" ht="15" customHeight="1" x14ac:dyDescent="0.2">
      <c r="B37" t="s">
        <v>116</v>
      </c>
      <c r="C37" s="12">
        <v>22</v>
      </c>
      <c r="D37" s="8">
        <v>1.74</v>
      </c>
      <c r="E37" s="12">
        <v>0</v>
      </c>
      <c r="F37" s="8">
        <v>0</v>
      </c>
      <c r="G37" s="12">
        <v>18</v>
      </c>
      <c r="H37" s="8">
        <v>3.17</v>
      </c>
      <c r="I37" s="12">
        <v>0</v>
      </c>
    </row>
    <row r="38" spans="2:9" ht="15" customHeight="1" x14ac:dyDescent="0.2">
      <c r="B38" t="s">
        <v>102</v>
      </c>
      <c r="C38" s="12">
        <v>21</v>
      </c>
      <c r="D38" s="8">
        <v>1.67</v>
      </c>
      <c r="E38" s="12">
        <v>13</v>
      </c>
      <c r="F38" s="8">
        <v>1.93</v>
      </c>
      <c r="G38" s="12">
        <v>8</v>
      </c>
      <c r="H38" s="8">
        <v>1.41</v>
      </c>
      <c r="I38" s="12">
        <v>0</v>
      </c>
    </row>
    <row r="39" spans="2:9" ht="15" customHeight="1" x14ac:dyDescent="0.2">
      <c r="B39" t="s">
        <v>109</v>
      </c>
      <c r="C39" s="12">
        <v>20</v>
      </c>
      <c r="D39" s="8">
        <v>1.59</v>
      </c>
      <c r="E39" s="12">
        <v>9</v>
      </c>
      <c r="F39" s="8">
        <v>1.34</v>
      </c>
      <c r="G39" s="12">
        <v>11</v>
      </c>
      <c r="H39" s="8">
        <v>1.94</v>
      </c>
      <c r="I39" s="12">
        <v>0</v>
      </c>
    </row>
    <row r="40" spans="2:9" ht="15" customHeight="1" x14ac:dyDescent="0.2">
      <c r="B40" t="s">
        <v>114</v>
      </c>
      <c r="C40" s="12">
        <v>20</v>
      </c>
      <c r="D40" s="8">
        <v>1.59</v>
      </c>
      <c r="E40" s="12">
        <v>2</v>
      </c>
      <c r="F40" s="8">
        <v>0.3</v>
      </c>
      <c r="G40" s="12">
        <v>18</v>
      </c>
      <c r="H40" s="8">
        <v>3.17</v>
      </c>
      <c r="I40" s="12">
        <v>0</v>
      </c>
    </row>
    <row r="41" spans="2:9" ht="15" customHeight="1" x14ac:dyDescent="0.2">
      <c r="B41" t="s">
        <v>101</v>
      </c>
      <c r="C41" s="12">
        <v>18</v>
      </c>
      <c r="D41" s="8">
        <v>1.43</v>
      </c>
      <c r="E41" s="12">
        <v>9</v>
      </c>
      <c r="F41" s="8">
        <v>1.34</v>
      </c>
      <c r="G41" s="12">
        <v>9</v>
      </c>
      <c r="H41" s="8">
        <v>1.59</v>
      </c>
      <c r="I41" s="12">
        <v>0</v>
      </c>
    </row>
    <row r="42" spans="2:9" ht="15" customHeight="1" x14ac:dyDescent="0.2">
      <c r="B42" t="s">
        <v>99</v>
      </c>
      <c r="C42" s="12">
        <v>17</v>
      </c>
      <c r="D42" s="8">
        <v>1.35</v>
      </c>
      <c r="E42" s="12">
        <v>3</v>
      </c>
      <c r="F42" s="8">
        <v>0.45</v>
      </c>
      <c r="G42" s="12">
        <v>14</v>
      </c>
      <c r="H42" s="8">
        <v>2.4700000000000002</v>
      </c>
      <c r="I42" s="12">
        <v>0</v>
      </c>
    </row>
    <row r="43" spans="2:9" ht="15" customHeight="1" x14ac:dyDescent="0.2">
      <c r="B43" t="s">
        <v>106</v>
      </c>
      <c r="C43" s="12">
        <v>17</v>
      </c>
      <c r="D43" s="8">
        <v>1.35</v>
      </c>
      <c r="E43" s="12">
        <v>6</v>
      </c>
      <c r="F43" s="8">
        <v>0.89</v>
      </c>
      <c r="G43" s="12">
        <v>11</v>
      </c>
      <c r="H43" s="8">
        <v>1.94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72</v>
      </c>
      <c r="D47" s="8">
        <v>5.71</v>
      </c>
      <c r="E47" s="12">
        <v>49</v>
      </c>
      <c r="F47" s="8">
        <v>7.27</v>
      </c>
      <c r="G47" s="12">
        <v>23</v>
      </c>
      <c r="H47" s="8">
        <v>4.0599999999999996</v>
      </c>
      <c r="I47" s="12">
        <v>0</v>
      </c>
    </row>
    <row r="48" spans="2:9" ht="15" customHeight="1" x14ac:dyDescent="0.2">
      <c r="B48" t="s">
        <v>168</v>
      </c>
      <c r="C48" s="12">
        <v>71</v>
      </c>
      <c r="D48" s="8">
        <v>5.63</v>
      </c>
      <c r="E48" s="12">
        <v>64</v>
      </c>
      <c r="F48" s="8">
        <v>9.5</v>
      </c>
      <c r="G48" s="12">
        <v>7</v>
      </c>
      <c r="H48" s="8">
        <v>1.23</v>
      </c>
      <c r="I48" s="12">
        <v>0</v>
      </c>
    </row>
    <row r="49" spans="2:9" ht="15" customHeight="1" x14ac:dyDescent="0.2">
      <c r="B49" t="s">
        <v>170</v>
      </c>
      <c r="C49" s="12">
        <v>44</v>
      </c>
      <c r="D49" s="8">
        <v>3.49</v>
      </c>
      <c r="E49" s="12">
        <v>40</v>
      </c>
      <c r="F49" s="8">
        <v>5.93</v>
      </c>
      <c r="G49" s="12">
        <v>4</v>
      </c>
      <c r="H49" s="8">
        <v>0.71</v>
      </c>
      <c r="I49" s="12">
        <v>0</v>
      </c>
    </row>
    <row r="50" spans="2:9" ht="15" customHeight="1" x14ac:dyDescent="0.2">
      <c r="B50" t="s">
        <v>171</v>
      </c>
      <c r="C50" s="12">
        <v>42</v>
      </c>
      <c r="D50" s="8">
        <v>3.33</v>
      </c>
      <c r="E50" s="12">
        <v>35</v>
      </c>
      <c r="F50" s="8">
        <v>5.19</v>
      </c>
      <c r="G50" s="12">
        <v>7</v>
      </c>
      <c r="H50" s="8">
        <v>1.23</v>
      </c>
      <c r="I50" s="12">
        <v>0</v>
      </c>
    </row>
    <row r="51" spans="2:9" ht="15" customHeight="1" x14ac:dyDescent="0.2">
      <c r="B51" t="s">
        <v>167</v>
      </c>
      <c r="C51" s="12">
        <v>38</v>
      </c>
      <c r="D51" s="8">
        <v>3.01</v>
      </c>
      <c r="E51" s="12">
        <v>33</v>
      </c>
      <c r="F51" s="8">
        <v>4.9000000000000004</v>
      </c>
      <c r="G51" s="12">
        <v>5</v>
      </c>
      <c r="H51" s="8">
        <v>0.88</v>
      </c>
      <c r="I51" s="12">
        <v>0</v>
      </c>
    </row>
    <row r="52" spans="2:9" ht="15" customHeight="1" x14ac:dyDescent="0.2">
      <c r="B52" t="s">
        <v>155</v>
      </c>
      <c r="C52" s="12">
        <v>35</v>
      </c>
      <c r="D52" s="8">
        <v>2.78</v>
      </c>
      <c r="E52" s="12">
        <v>8</v>
      </c>
      <c r="F52" s="8">
        <v>1.19</v>
      </c>
      <c r="G52" s="12">
        <v>27</v>
      </c>
      <c r="H52" s="8">
        <v>4.76</v>
      </c>
      <c r="I52" s="12">
        <v>0</v>
      </c>
    </row>
    <row r="53" spans="2:9" ht="15" customHeight="1" x14ac:dyDescent="0.2">
      <c r="B53" t="s">
        <v>165</v>
      </c>
      <c r="C53" s="12">
        <v>35</v>
      </c>
      <c r="D53" s="8">
        <v>2.78</v>
      </c>
      <c r="E53" s="12">
        <v>32</v>
      </c>
      <c r="F53" s="8">
        <v>4.75</v>
      </c>
      <c r="G53" s="12">
        <v>3</v>
      </c>
      <c r="H53" s="8">
        <v>0.53</v>
      </c>
      <c r="I53" s="12">
        <v>0</v>
      </c>
    </row>
    <row r="54" spans="2:9" ht="15" customHeight="1" x14ac:dyDescent="0.2">
      <c r="B54" t="s">
        <v>163</v>
      </c>
      <c r="C54" s="12">
        <v>34</v>
      </c>
      <c r="D54" s="8">
        <v>2.7</v>
      </c>
      <c r="E54" s="12">
        <v>28</v>
      </c>
      <c r="F54" s="8">
        <v>4.1500000000000004</v>
      </c>
      <c r="G54" s="12">
        <v>6</v>
      </c>
      <c r="H54" s="8">
        <v>1.06</v>
      </c>
      <c r="I54" s="12">
        <v>0</v>
      </c>
    </row>
    <row r="55" spans="2:9" ht="15" customHeight="1" x14ac:dyDescent="0.2">
      <c r="B55" t="s">
        <v>157</v>
      </c>
      <c r="C55" s="12">
        <v>26</v>
      </c>
      <c r="D55" s="8">
        <v>2.06</v>
      </c>
      <c r="E55" s="12">
        <v>9</v>
      </c>
      <c r="F55" s="8">
        <v>1.34</v>
      </c>
      <c r="G55" s="12">
        <v>17</v>
      </c>
      <c r="H55" s="8">
        <v>3</v>
      </c>
      <c r="I55" s="12">
        <v>0</v>
      </c>
    </row>
    <row r="56" spans="2:9" ht="15" customHeight="1" x14ac:dyDescent="0.2">
      <c r="B56" t="s">
        <v>152</v>
      </c>
      <c r="C56" s="12">
        <v>25</v>
      </c>
      <c r="D56" s="8">
        <v>1.98</v>
      </c>
      <c r="E56" s="12">
        <v>6</v>
      </c>
      <c r="F56" s="8">
        <v>0.89</v>
      </c>
      <c r="G56" s="12">
        <v>19</v>
      </c>
      <c r="H56" s="8">
        <v>3.35</v>
      </c>
      <c r="I56" s="12">
        <v>0</v>
      </c>
    </row>
    <row r="57" spans="2:9" ht="15" customHeight="1" x14ac:dyDescent="0.2">
      <c r="B57" t="s">
        <v>219</v>
      </c>
      <c r="C57" s="12">
        <v>23</v>
      </c>
      <c r="D57" s="8">
        <v>1.82</v>
      </c>
      <c r="E57" s="12">
        <v>0</v>
      </c>
      <c r="F57" s="8">
        <v>0</v>
      </c>
      <c r="G57" s="12">
        <v>23</v>
      </c>
      <c r="H57" s="8">
        <v>4.0599999999999996</v>
      </c>
      <c r="I57" s="12">
        <v>0</v>
      </c>
    </row>
    <row r="58" spans="2:9" ht="15" customHeight="1" x14ac:dyDescent="0.2">
      <c r="B58" t="s">
        <v>164</v>
      </c>
      <c r="C58" s="12">
        <v>23</v>
      </c>
      <c r="D58" s="8">
        <v>1.82</v>
      </c>
      <c r="E58" s="12">
        <v>23</v>
      </c>
      <c r="F58" s="8">
        <v>3.41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176</v>
      </c>
      <c r="C59" s="12">
        <v>22</v>
      </c>
      <c r="D59" s="8">
        <v>1.74</v>
      </c>
      <c r="E59" s="12">
        <v>22</v>
      </c>
      <c r="F59" s="8">
        <v>3.26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166</v>
      </c>
      <c r="C60" s="12">
        <v>21</v>
      </c>
      <c r="D60" s="8">
        <v>1.67</v>
      </c>
      <c r="E60" s="12">
        <v>13</v>
      </c>
      <c r="F60" s="8">
        <v>1.93</v>
      </c>
      <c r="G60" s="12">
        <v>8</v>
      </c>
      <c r="H60" s="8">
        <v>1.41</v>
      </c>
      <c r="I60" s="12">
        <v>0</v>
      </c>
    </row>
    <row r="61" spans="2:9" ht="15" customHeight="1" x14ac:dyDescent="0.2">
      <c r="B61" t="s">
        <v>154</v>
      </c>
      <c r="C61" s="12">
        <v>18</v>
      </c>
      <c r="D61" s="8">
        <v>1.43</v>
      </c>
      <c r="E61" s="12">
        <v>8</v>
      </c>
      <c r="F61" s="8">
        <v>1.19</v>
      </c>
      <c r="G61" s="12">
        <v>10</v>
      </c>
      <c r="H61" s="8">
        <v>1.76</v>
      </c>
      <c r="I61" s="12">
        <v>0</v>
      </c>
    </row>
    <row r="62" spans="2:9" ht="15" customHeight="1" x14ac:dyDescent="0.2">
      <c r="B62" t="s">
        <v>198</v>
      </c>
      <c r="C62" s="12">
        <v>18</v>
      </c>
      <c r="D62" s="8">
        <v>1.43</v>
      </c>
      <c r="E62" s="12">
        <v>13</v>
      </c>
      <c r="F62" s="8">
        <v>1.93</v>
      </c>
      <c r="G62" s="12">
        <v>5</v>
      </c>
      <c r="H62" s="8">
        <v>0.88</v>
      </c>
      <c r="I62" s="12">
        <v>0</v>
      </c>
    </row>
    <row r="63" spans="2:9" ht="15" customHeight="1" x14ac:dyDescent="0.2">
      <c r="B63" t="s">
        <v>156</v>
      </c>
      <c r="C63" s="12">
        <v>17</v>
      </c>
      <c r="D63" s="8">
        <v>1.35</v>
      </c>
      <c r="E63" s="12">
        <v>12</v>
      </c>
      <c r="F63" s="8">
        <v>1.78</v>
      </c>
      <c r="G63" s="12">
        <v>5</v>
      </c>
      <c r="H63" s="8">
        <v>0.88</v>
      </c>
      <c r="I63" s="12">
        <v>0</v>
      </c>
    </row>
    <row r="64" spans="2:9" ht="15" customHeight="1" x14ac:dyDescent="0.2">
      <c r="B64" t="s">
        <v>153</v>
      </c>
      <c r="C64" s="12">
        <v>16</v>
      </c>
      <c r="D64" s="8">
        <v>1.27</v>
      </c>
      <c r="E64" s="12">
        <v>1</v>
      </c>
      <c r="F64" s="8">
        <v>0.15</v>
      </c>
      <c r="G64" s="12">
        <v>15</v>
      </c>
      <c r="H64" s="8">
        <v>2.65</v>
      </c>
      <c r="I64" s="12">
        <v>0</v>
      </c>
    </row>
    <row r="65" spans="2:9" ht="15" customHeight="1" x14ac:dyDescent="0.2">
      <c r="B65" t="s">
        <v>199</v>
      </c>
      <c r="C65" s="12">
        <v>16</v>
      </c>
      <c r="D65" s="8">
        <v>1.27</v>
      </c>
      <c r="E65" s="12">
        <v>2</v>
      </c>
      <c r="F65" s="8">
        <v>0.3</v>
      </c>
      <c r="G65" s="12">
        <v>14</v>
      </c>
      <c r="H65" s="8">
        <v>2.4700000000000002</v>
      </c>
      <c r="I65" s="12">
        <v>0</v>
      </c>
    </row>
    <row r="66" spans="2:9" ht="15" customHeight="1" x14ac:dyDescent="0.2">
      <c r="B66" t="s">
        <v>204</v>
      </c>
      <c r="C66" s="12">
        <v>16</v>
      </c>
      <c r="D66" s="8">
        <v>1.27</v>
      </c>
      <c r="E66" s="12">
        <v>3</v>
      </c>
      <c r="F66" s="8">
        <v>0.45</v>
      </c>
      <c r="G66" s="12">
        <v>13</v>
      </c>
      <c r="H66" s="8">
        <v>2.29</v>
      </c>
      <c r="I66" s="12">
        <v>0</v>
      </c>
    </row>
    <row r="67" spans="2:9" ht="15" customHeight="1" x14ac:dyDescent="0.2">
      <c r="B67" t="s">
        <v>192</v>
      </c>
      <c r="C67" s="12">
        <v>16</v>
      </c>
      <c r="D67" s="8">
        <v>1.27</v>
      </c>
      <c r="E67" s="12">
        <v>5</v>
      </c>
      <c r="F67" s="8">
        <v>0.74</v>
      </c>
      <c r="G67" s="12">
        <v>2</v>
      </c>
      <c r="H67" s="8">
        <v>0.35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9507-E799-463D-8963-8EAE489B0CCD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321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109</v>
      </c>
      <c r="D6" s="8">
        <v>11.26</v>
      </c>
      <c r="E6" s="12">
        <v>14</v>
      </c>
      <c r="F6" s="8">
        <v>3.2</v>
      </c>
      <c r="G6" s="12">
        <v>95</v>
      </c>
      <c r="H6" s="8">
        <v>18.16</v>
      </c>
      <c r="I6" s="12">
        <v>0</v>
      </c>
    </row>
    <row r="7" spans="2:9" ht="15" customHeight="1" x14ac:dyDescent="0.2">
      <c r="B7" t="s">
        <v>73</v>
      </c>
      <c r="C7" s="12">
        <v>102</v>
      </c>
      <c r="D7" s="8">
        <v>10.54</v>
      </c>
      <c r="E7" s="12">
        <v>22</v>
      </c>
      <c r="F7" s="8">
        <v>5.03</v>
      </c>
      <c r="G7" s="12">
        <v>80</v>
      </c>
      <c r="H7" s="8">
        <v>15.3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0.21</v>
      </c>
      <c r="E8" s="12">
        <v>0</v>
      </c>
      <c r="F8" s="8">
        <v>0</v>
      </c>
      <c r="G8" s="12">
        <v>2</v>
      </c>
      <c r="H8" s="8">
        <v>0.38</v>
      </c>
      <c r="I8" s="12">
        <v>0</v>
      </c>
    </row>
    <row r="9" spans="2:9" ht="15" customHeight="1" x14ac:dyDescent="0.2">
      <c r="B9" t="s">
        <v>75</v>
      </c>
      <c r="C9" s="12">
        <v>11</v>
      </c>
      <c r="D9" s="8">
        <v>1.1399999999999999</v>
      </c>
      <c r="E9" s="12">
        <v>0</v>
      </c>
      <c r="F9" s="8">
        <v>0</v>
      </c>
      <c r="G9" s="12">
        <v>11</v>
      </c>
      <c r="H9" s="8">
        <v>2.1</v>
      </c>
      <c r="I9" s="12">
        <v>0</v>
      </c>
    </row>
    <row r="10" spans="2:9" ht="15" customHeight="1" x14ac:dyDescent="0.2">
      <c r="B10" t="s">
        <v>76</v>
      </c>
      <c r="C10" s="12">
        <v>9</v>
      </c>
      <c r="D10" s="8">
        <v>0.93</v>
      </c>
      <c r="E10" s="12">
        <v>0</v>
      </c>
      <c r="F10" s="8">
        <v>0</v>
      </c>
      <c r="G10" s="12">
        <v>8</v>
      </c>
      <c r="H10" s="8">
        <v>1.53</v>
      </c>
      <c r="I10" s="12">
        <v>0</v>
      </c>
    </row>
    <row r="11" spans="2:9" ht="15" customHeight="1" x14ac:dyDescent="0.2">
      <c r="B11" t="s">
        <v>77</v>
      </c>
      <c r="C11" s="12">
        <v>233</v>
      </c>
      <c r="D11" s="8">
        <v>24.07</v>
      </c>
      <c r="E11" s="12">
        <v>115</v>
      </c>
      <c r="F11" s="8">
        <v>26.32</v>
      </c>
      <c r="G11" s="12">
        <v>118</v>
      </c>
      <c r="H11" s="8">
        <v>22.56</v>
      </c>
      <c r="I11" s="12">
        <v>0</v>
      </c>
    </row>
    <row r="12" spans="2:9" ht="15" customHeight="1" x14ac:dyDescent="0.2">
      <c r="B12" t="s">
        <v>78</v>
      </c>
      <c r="C12" s="12">
        <v>6</v>
      </c>
      <c r="D12" s="8">
        <v>0.62</v>
      </c>
      <c r="E12" s="12">
        <v>1</v>
      </c>
      <c r="F12" s="8">
        <v>0.23</v>
      </c>
      <c r="G12" s="12">
        <v>5</v>
      </c>
      <c r="H12" s="8">
        <v>0.96</v>
      </c>
      <c r="I12" s="12">
        <v>0</v>
      </c>
    </row>
    <row r="13" spans="2:9" ht="15" customHeight="1" x14ac:dyDescent="0.2">
      <c r="B13" t="s">
        <v>79</v>
      </c>
      <c r="C13" s="12">
        <v>93</v>
      </c>
      <c r="D13" s="8">
        <v>9.61</v>
      </c>
      <c r="E13" s="12">
        <v>17</v>
      </c>
      <c r="F13" s="8">
        <v>3.89</v>
      </c>
      <c r="G13" s="12">
        <v>76</v>
      </c>
      <c r="H13" s="8">
        <v>14.53</v>
      </c>
      <c r="I13" s="12">
        <v>0</v>
      </c>
    </row>
    <row r="14" spans="2:9" ht="15" customHeight="1" x14ac:dyDescent="0.2">
      <c r="B14" t="s">
        <v>80</v>
      </c>
      <c r="C14" s="12">
        <v>49</v>
      </c>
      <c r="D14" s="8">
        <v>5.0599999999999996</v>
      </c>
      <c r="E14" s="12">
        <v>21</v>
      </c>
      <c r="F14" s="8">
        <v>4.8099999999999996</v>
      </c>
      <c r="G14" s="12">
        <v>28</v>
      </c>
      <c r="H14" s="8">
        <v>5.35</v>
      </c>
      <c r="I14" s="12">
        <v>0</v>
      </c>
    </row>
    <row r="15" spans="2:9" ht="15" customHeight="1" x14ac:dyDescent="0.2">
      <c r="B15" t="s">
        <v>81</v>
      </c>
      <c r="C15" s="12">
        <v>101</v>
      </c>
      <c r="D15" s="8">
        <v>10.43</v>
      </c>
      <c r="E15" s="12">
        <v>77</v>
      </c>
      <c r="F15" s="8">
        <v>17.62</v>
      </c>
      <c r="G15" s="12">
        <v>24</v>
      </c>
      <c r="H15" s="8">
        <v>4.59</v>
      </c>
      <c r="I15" s="12">
        <v>0</v>
      </c>
    </row>
    <row r="16" spans="2:9" ht="15" customHeight="1" x14ac:dyDescent="0.2">
      <c r="B16" t="s">
        <v>82</v>
      </c>
      <c r="C16" s="12">
        <v>125</v>
      </c>
      <c r="D16" s="8">
        <v>12.91</v>
      </c>
      <c r="E16" s="12">
        <v>100</v>
      </c>
      <c r="F16" s="8">
        <v>22.88</v>
      </c>
      <c r="G16" s="12">
        <v>25</v>
      </c>
      <c r="H16" s="8">
        <v>4.78</v>
      </c>
      <c r="I16" s="12">
        <v>0</v>
      </c>
    </row>
    <row r="17" spans="2:9" ht="15" customHeight="1" x14ac:dyDescent="0.2">
      <c r="B17" t="s">
        <v>83</v>
      </c>
      <c r="C17" s="12">
        <v>46</v>
      </c>
      <c r="D17" s="8">
        <v>4.75</v>
      </c>
      <c r="E17" s="12">
        <v>29</v>
      </c>
      <c r="F17" s="8">
        <v>6.64</v>
      </c>
      <c r="G17" s="12">
        <v>15</v>
      </c>
      <c r="H17" s="8">
        <v>2.87</v>
      </c>
      <c r="I17" s="12">
        <v>0</v>
      </c>
    </row>
    <row r="18" spans="2:9" ht="15" customHeight="1" x14ac:dyDescent="0.2">
      <c r="B18" t="s">
        <v>84</v>
      </c>
      <c r="C18" s="12">
        <v>43</v>
      </c>
      <c r="D18" s="8">
        <v>4.4400000000000004</v>
      </c>
      <c r="E18" s="12">
        <v>29</v>
      </c>
      <c r="F18" s="8">
        <v>6.64</v>
      </c>
      <c r="G18" s="12">
        <v>11</v>
      </c>
      <c r="H18" s="8">
        <v>2.1</v>
      </c>
      <c r="I18" s="12">
        <v>0</v>
      </c>
    </row>
    <row r="19" spans="2:9" ht="15" customHeight="1" x14ac:dyDescent="0.2">
      <c r="B19" t="s">
        <v>85</v>
      </c>
      <c r="C19" s="12">
        <v>39</v>
      </c>
      <c r="D19" s="8">
        <v>4.03</v>
      </c>
      <c r="E19" s="12">
        <v>12</v>
      </c>
      <c r="F19" s="8">
        <v>2.75</v>
      </c>
      <c r="G19" s="12">
        <v>25</v>
      </c>
      <c r="H19" s="8">
        <v>4.78</v>
      </c>
      <c r="I19" s="12">
        <v>0</v>
      </c>
    </row>
    <row r="20" spans="2:9" ht="15" customHeight="1" x14ac:dyDescent="0.2">
      <c r="B20" s="9" t="s">
        <v>277</v>
      </c>
      <c r="C20" s="12">
        <f>SUM(LTBL_23225[総数／事業所数])</f>
        <v>968</v>
      </c>
      <c r="E20" s="12">
        <f>SUBTOTAL(109,LTBL_23225[個人／事業所数])</f>
        <v>437</v>
      </c>
      <c r="G20" s="12">
        <f>SUBTOTAL(109,LTBL_23225[法人／事業所数])</f>
        <v>523</v>
      </c>
      <c r="I20" s="12">
        <f>SUBTOTAL(109,LTBL_23225[法人以外の団体／事業所数])</f>
        <v>0</v>
      </c>
    </row>
    <row r="21" spans="2:9" ht="15" customHeight="1" x14ac:dyDescent="0.2">
      <c r="E21" s="11">
        <f>LTBL_23225[[#Totals],[個人／事業所数]]/LTBL_23225[[#Totals],[総数／事業所数]]</f>
        <v>0.45144628099173556</v>
      </c>
      <c r="G21" s="11">
        <f>LTBL_23225[[#Totals],[法人／事業所数]]/LTBL_23225[[#Totals],[総数／事業所数]]</f>
        <v>0.54028925619834711</v>
      </c>
      <c r="I21" s="11">
        <f>LTBL_23225[[#Totals],[法人以外の団体／事業所数]]/LTBL_23225[[#Totals],[総数／事業所数]]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101</v>
      </c>
      <c r="D24" s="8">
        <v>10.43</v>
      </c>
      <c r="E24" s="12">
        <v>86</v>
      </c>
      <c r="F24" s="8">
        <v>19.68</v>
      </c>
      <c r="G24" s="12">
        <v>15</v>
      </c>
      <c r="H24" s="8">
        <v>2.87</v>
      </c>
      <c r="I24" s="12">
        <v>0</v>
      </c>
    </row>
    <row r="25" spans="2:9" ht="15" customHeight="1" x14ac:dyDescent="0.2">
      <c r="B25" t="s">
        <v>110</v>
      </c>
      <c r="C25" s="12">
        <v>91</v>
      </c>
      <c r="D25" s="8">
        <v>9.4</v>
      </c>
      <c r="E25" s="12">
        <v>72</v>
      </c>
      <c r="F25" s="8">
        <v>16.48</v>
      </c>
      <c r="G25" s="12">
        <v>19</v>
      </c>
      <c r="H25" s="8">
        <v>3.63</v>
      </c>
      <c r="I25" s="12">
        <v>0</v>
      </c>
    </row>
    <row r="26" spans="2:9" ht="15" customHeight="1" x14ac:dyDescent="0.2">
      <c r="B26" t="s">
        <v>105</v>
      </c>
      <c r="C26" s="12">
        <v>75</v>
      </c>
      <c r="D26" s="8">
        <v>7.75</v>
      </c>
      <c r="E26" s="12">
        <v>42</v>
      </c>
      <c r="F26" s="8">
        <v>9.61</v>
      </c>
      <c r="G26" s="12">
        <v>33</v>
      </c>
      <c r="H26" s="8">
        <v>6.31</v>
      </c>
      <c r="I26" s="12">
        <v>0</v>
      </c>
    </row>
    <row r="27" spans="2:9" ht="15" customHeight="1" x14ac:dyDescent="0.2">
      <c r="B27" t="s">
        <v>107</v>
      </c>
      <c r="C27" s="12">
        <v>74</v>
      </c>
      <c r="D27" s="8">
        <v>7.64</v>
      </c>
      <c r="E27" s="12">
        <v>16</v>
      </c>
      <c r="F27" s="8">
        <v>3.66</v>
      </c>
      <c r="G27" s="12">
        <v>58</v>
      </c>
      <c r="H27" s="8">
        <v>11.09</v>
      </c>
      <c r="I27" s="12">
        <v>0</v>
      </c>
    </row>
    <row r="28" spans="2:9" ht="15" customHeight="1" x14ac:dyDescent="0.2">
      <c r="B28" t="s">
        <v>94</v>
      </c>
      <c r="C28" s="12">
        <v>50</v>
      </c>
      <c r="D28" s="8">
        <v>5.17</v>
      </c>
      <c r="E28" s="12">
        <v>4</v>
      </c>
      <c r="F28" s="8">
        <v>0.92</v>
      </c>
      <c r="G28" s="12">
        <v>46</v>
      </c>
      <c r="H28" s="8">
        <v>8.8000000000000007</v>
      </c>
      <c r="I28" s="12">
        <v>0</v>
      </c>
    </row>
    <row r="29" spans="2:9" ht="15" customHeight="1" x14ac:dyDescent="0.2">
      <c r="B29" t="s">
        <v>112</v>
      </c>
      <c r="C29" s="12">
        <v>46</v>
      </c>
      <c r="D29" s="8">
        <v>4.75</v>
      </c>
      <c r="E29" s="12">
        <v>29</v>
      </c>
      <c r="F29" s="8">
        <v>6.64</v>
      </c>
      <c r="G29" s="12">
        <v>15</v>
      </c>
      <c r="H29" s="8">
        <v>2.87</v>
      </c>
      <c r="I29" s="12">
        <v>0</v>
      </c>
    </row>
    <row r="30" spans="2:9" ht="15" customHeight="1" x14ac:dyDescent="0.2">
      <c r="B30" t="s">
        <v>102</v>
      </c>
      <c r="C30" s="12">
        <v>39</v>
      </c>
      <c r="D30" s="8">
        <v>4.03</v>
      </c>
      <c r="E30" s="12">
        <v>18</v>
      </c>
      <c r="F30" s="8">
        <v>4.12</v>
      </c>
      <c r="G30" s="12">
        <v>21</v>
      </c>
      <c r="H30" s="8">
        <v>4.0199999999999996</v>
      </c>
      <c r="I30" s="12">
        <v>0</v>
      </c>
    </row>
    <row r="31" spans="2:9" ht="15" customHeight="1" x14ac:dyDescent="0.2">
      <c r="B31" t="s">
        <v>103</v>
      </c>
      <c r="C31" s="12">
        <v>37</v>
      </c>
      <c r="D31" s="8">
        <v>3.82</v>
      </c>
      <c r="E31" s="12">
        <v>23</v>
      </c>
      <c r="F31" s="8">
        <v>5.26</v>
      </c>
      <c r="G31" s="12">
        <v>14</v>
      </c>
      <c r="H31" s="8">
        <v>2.68</v>
      </c>
      <c r="I31" s="12">
        <v>0</v>
      </c>
    </row>
    <row r="32" spans="2:9" ht="15" customHeight="1" x14ac:dyDescent="0.2">
      <c r="B32" t="s">
        <v>95</v>
      </c>
      <c r="C32" s="12">
        <v>31</v>
      </c>
      <c r="D32" s="8">
        <v>3.2</v>
      </c>
      <c r="E32" s="12">
        <v>5</v>
      </c>
      <c r="F32" s="8">
        <v>1.1399999999999999</v>
      </c>
      <c r="G32" s="12">
        <v>26</v>
      </c>
      <c r="H32" s="8">
        <v>4.97</v>
      </c>
      <c r="I32" s="12">
        <v>0</v>
      </c>
    </row>
    <row r="33" spans="2:9" ht="15" customHeight="1" x14ac:dyDescent="0.2">
      <c r="B33" t="s">
        <v>113</v>
      </c>
      <c r="C33" s="12">
        <v>31</v>
      </c>
      <c r="D33" s="8">
        <v>3.2</v>
      </c>
      <c r="E33" s="12">
        <v>28</v>
      </c>
      <c r="F33" s="8">
        <v>6.41</v>
      </c>
      <c r="G33" s="12">
        <v>3</v>
      </c>
      <c r="H33" s="8">
        <v>0.56999999999999995</v>
      </c>
      <c r="I33" s="12">
        <v>0</v>
      </c>
    </row>
    <row r="34" spans="2:9" ht="15" customHeight="1" x14ac:dyDescent="0.2">
      <c r="B34" t="s">
        <v>104</v>
      </c>
      <c r="C34" s="12">
        <v>30</v>
      </c>
      <c r="D34" s="8">
        <v>3.1</v>
      </c>
      <c r="E34" s="12">
        <v>17</v>
      </c>
      <c r="F34" s="8">
        <v>3.89</v>
      </c>
      <c r="G34" s="12">
        <v>13</v>
      </c>
      <c r="H34" s="8">
        <v>2.4900000000000002</v>
      </c>
      <c r="I34" s="12">
        <v>0</v>
      </c>
    </row>
    <row r="35" spans="2:9" ht="15" customHeight="1" x14ac:dyDescent="0.2">
      <c r="B35" t="s">
        <v>108</v>
      </c>
      <c r="C35" s="12">
        <v>29</v>
      </c>
      <c r="D35" s="8">
        <v>3</v>
      </c>
      <c r="E35" s="12">
        <v>13</v>
      </c>
      <c r="F35" s="8">
        <v>2.97</v>
      </c>
      <c r="G35" s="12">
        <v>16</v>
      </c>
      <c r="H35" s="8">
        <v>3.06</v>
      </c>
      <c r="I35" s="12">
        <v>0</v>
      </c>
    </row>
    <row r="36" spans="2:9" ht="15" customHeight="1" x14ac:dyDescent="0.2">
      <c r="B36" t="s">
        <v>96</v>
      </c>
      <c r="C36" s="12">
        <v>28</v>
      </c>
      <c r="D36" s="8">
        <v>2.89</v>
      </c>
      <c r="E36" s="12">
        <v>5</v>
      </c>
      <c r="F36" s="8">
        <v>1.1399999999999999</v>
      </c>
      <c r="G36" s="12">
        <v>23</v>
      </c>
      <c r="H36" s="8">
        <v>4.4000000000000004</v>
      </c>
      <c r="I36" s="12">
        <v>0</v>
      </c>
    </row>
    <row r="37" spans="2:9" ht="15" customHeight="1" x14ac:dyDescent="0.2">
      <c r="B37" t="s">
        <v>109</v>
      </c>
      <c r="C37" s="12">
        <v>19</v>
      </c>
      <c r="D37" s="8">
        <v>1.96</v>
      </c>
      <c r="E37" s="12">
        <v>7</v>
      </c>
      <c r="F37" s="8">
        <v>1.6</v>
      </c>
      <c r="G37" s="12">
        <v>12</v>
      </c>
      <c r="H37" s="8">
        <v>2.29</v>
      </c>
      <c r="I37" s="12">
        <v>0</v>
      </c>
    </row>
    <row r="38" spans="2:9" ht="15" customHeight="1" x14ac:dyDescent="0.2">
      <c r="B38" t="s">
        <v>97</v>
      </c>
      <c r="C38" s="12">
        <v>17</v>
      </c>
      <c r="D38" s="8">
        <v>1.76</v>
      </c>
      <c r="E38" s="12">
        <v>5</v>
      </c>
      <c r="F38" s="8">
        <v>1.1399999999999999</v>
      </c>
      <c r="G38" s="12">
        <v>12</v>
      </c>
      <c r="H38" s="8">
        <v>2.29</v>
      </c>
      <c r="I38" s="12">
        <v>0</v>
      </c>
    </row>
    <row r="39" spans="2:9" ht="15" customHeight="1" x14ac:dyDescent="0.2">
      <c r="B39" t="s">
        <v>98</v>
      </c>
      <c r="C39" s="12">
        <v>17</v>
      </c>
      <c r="D39" s="8">
        <v>1.76</v>
      </c>
      <c r="E39" s="12">
        <v>3</v>
      </c>
      <c r="F39" s="8">
        <v>0.69</v>
      </c>
      <c r="G39" s="12">
        <v>14</v>
      </c>
      <c r="H39" s="8">
        <v>2.68</v>
      </c>
      <c r="I39" s="12">
        <v>0</v>
      </c>
    </row>
    <row r="40" spans="2:9" ht="15" customHeight="1" x14ac:dyDescent="0.2">
      <c r="B40" t="s">
        <v>115</v>
      </c>
      <c r="C40" s="12">
        <v>17</v>
      </c>
      <c r="D40" s="8">
        <v>1.76</v>
      </c>
      <c r="E40" s="12">
        <v>10</v>
      </c>
      <c r="F40" s="8">
        <v>2.29</v>
      </c>
      <c r="G40" s="12">
        <v>7</v>
      </c>
      <c r="H40" s="8">
        <v>1.34</v>
      </c>
      <c r="I40" s="12">
        <v>0</v>
      </c>
    </row>
    <row r="41" spans="2:9" ht="15" customHeight="1" x14ac:dyDescent="0.2">
      <c r="B41" t="s">
        <v>124</v>
      </c>
      <c r="C41" s="12">
        <v>16</v>
      </c>
      <c r="D41" s="8">
        <v>1.65</v>
      </c>
      <c r="E41" s="12">
        <v>3</v>
      </c>
      <c r="F41" s="8">
        <v>0.69</v>
      </c>
      <c r="G41" s="12">
        <v>13</v>
      </c>
      <c r="H41" s="8">
        <v>2.4900000000000002</v>
      </c>
      <c r="I41" s="12">
        <v>0</v>
      </c>
    </row>
    <row r="42" spans="2:9" ht="15" customHeight="1" x14ac:dyDescent="0.2">
      <c r="B42" t="s">
        <v>106</v>
      </c>
      <c r="C42" s="12">
        <v>16</v>
      </c>
      <c r="D42" s="8">
        <v>1.65</v>
      </c>
      <c r="E42" s="12">
        <v>1</v>
      </c>
      <c r="F42" s="8">
        <v>0.23</v>
      </c>
      <c r="G42" s="12">
        <v>15</v>
      </c>
      <c r="H42" s="8">
        <v>2.87</v>
      </c>
      <c r="I42" s="12">
        <v>0</v>
      </c>
    </row>
    <row r="43" spans="2:9" ht="15" customHeight="1" x14ac:dyDescent="0.2">
      <c r="B43" t="s">
        <v>100</v>
      </c>
      <c r="C43" s="12">
        <v>15</v>
      </c>
      <c r="D43" s="8">
        <v>1.55</v>
      </c>
      <c r="E43" s="12">
        <v>1</v>
      </c>
      <c r="F43" s="8">
        <v>0.23</v>
      </c>
      <c r="G43" s="12">
        <v>14</v>
      </c>
      <c r="H43" s="8">
        <v>2.68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45</v>
      </c>
      <c r="D47" s="8">
        <v>4.6500000000000004</v>
      </c>
      <c r="E47" s="12">
        <v>35</v>
      </c>
      <c r="F47" s="8">
        <v>8.01</v>
      </c>
      <c r="G47" s="12">
        <v>10</v>
      </c>
      <c r="H47" s="8">
        <v>1.91</v>
      </c>
      <c r="I47" s="12">
        <v>0</v>
      </c>
    </row>
    <row r="48" spans="2:9" ht="15" customHeight="1" x14ac:dyDescent="0.2">
      <c r="B48" t="s">
        <v>161</v>
      </c>
      <c r="C48" s="12">
        <v>43</v>
      </c>
      <c r="D48" s="8">
        <v>4.4400000000000004</v>
      </c>
      <c r="E48" s="12">
        <v>13</v>
      </c>
      <c r="F48" s="8">
        <v>2.97</v>
      </c>
      <c r="G48" s="12">
        <v>30</v>
      </c>
      <c r="H48" s="8">
        <v>5.74</v>
      </c>
      <c r="I48" s="12">
        <v>0</v>
      </c>
    </row>
    <row r="49" spans="2:9" ht="15" customHeight="1" x14ac:dyDescent="0.2">
      <c r="B49" t="s">
        <v>167</v>
      </c>
      <c r="C49" s="12">
        <v>37</v>
      </c>
      <c r="D49" s="8">
        <v>3.82</v>
      </c>
      <c r="E49" s="12">
        <v>36</v>
      </c>
      <c r="F49" s="8">
        <v>8.24</v>
      </c>
      <c r="G49" s="12">
        <v>1</v>
      </c>
      <c r="H49" s="8">
        <v>0.19</v>
      </c>
      <c r="I49" s="12">
        <v>0</v>
      </c>
    </row>
    <row r="50" spans="2:9" ht="15" customHeight="1" x14ac:dyDescent="0.2">
      <c r="B50" t="s">
        <v>170</v>
      </c>
      <c r="C50" s="12">
        <v>31</v>
      </c>
      <c r="D50" s="8">
        <v>3.2</v>
      </c>
      <c r="E50" s="12">
        <v>21</v>
      </c>
      <c r="F50" s="8">
        <v>4.8099999999999996</v>
      </c>
      <c r="G50" s="12">
        <v>10</v>
      </c>
      <c r="H50" s="8">
        <v>1.91</v>
      </c>
      <c r="I50" s="12">
        <v>0</v>
      </c>
    </row>
    <row r="51" spans="2:9" ht="15" customHeight="1" x14ac:dyDescent="0.2">
      <c r="B51" t="s">
        <v>158</v>
      </c>
      <c r="C51" s="12">
        <v>26</v>
      </c>
      <c r="D51" s="8">
        <v>2.69</v>
      </c>
      <c r="E51" s="12">
        <v>15</v>
      </c>
      <c r="F51" s="8">
        <v>3.43</v>
      </c>
      <c r="G51" s="12">
        <v>11</v>
      </c>
      <c r="H51" s="8">
        <v>2.1</v>
      </c>
      <c r="I51" s="12">
        <v>0</v>
      </c>
    </row>
    <row r="52" spans="2:9" ht="15" customHeight="1" x14ac:dyDescent="0.2">
      <c r="B52" t="s">
        <v>164</v>
      </c>
      <c r="C52" s="12">
        <v>23</v>
      </c>
      <c r="D52" s="8">
        <v>2.38</v>
      </c>
      <c r="E52" s="12">
        <v>21</v>
      </c>
      <c r="F52" s="8">
        <v>4.8099999999999996</v>
      </c>
      <c r="G52" s="12">
        <v>2</v>
      </c>
      <c r="H52" s="8">
        <v>0.38</v>
      </c>
      <c r="I52" s="12">
        <v>0</v>
      </c>
    </row>
    <row r="53" spans="2:9" ht="15" customHeight="1" x14ac:dyDescent="0.2">
      <c r="B53" t="s">
        <v>191</v>
      </c>
      <c r="C53" s="12">
        <v>22</v>
      </c>
      <c r="D53" s="8">
        <v>2.27</v>
      </c>
      <c r="E53" s="12">
        <v>10</v>
      </c>
      <c r="F53" s="8">
        <v>2.29</v>
      </c>
      <c r="G53" s="12">
        <v>12</v>
      </c>
      <c r="H53" s="8">
        <v>2.29</v>
      </c>
      <c r="I53" s="12">
        <v>0</v>
      </c>
    </row>
    <row r="54" spans="2:9" ht="15" customHeight="1" x14ac:dyDescent="0.2">
      <c r="B54" t="s">
        <v>165</v>
      </c>
      <c r="C54" s="12">
        <v>20</v>
      </c>
      <c r="D54" s="8">
        <v>2.0699999999999998</v>
      </c>
      <c r="E54" s="12">
        <v>17</v>
      </c>
      <c r="F54" s="8">
        <v>3.89</v>
      </c>
      <c r="G54" s="12">
        <v>3</v>
      </c>
      <c r="H54" s="8">
        <v>0.56999999999999995</v>
      </c>
      <c r="I54" s="12">
        <v>0</v>
      </c>
    </row>
    <row r="55" spans="2:9" ht="15" customHeight="1" x14ac:dyDescent="0.2">
      <c r="B55" t="s">
        <v>171</v>
      </c>
      <c r="C55" s="12">
        <v>20</v>
      </c>
      <c r="D55" s="8">
        <v>2.0699999999999998</v>
      </c>
      <c r="E55" s="12">
        <v>19</v>
      </c>
      <c r="F55" s="8">
        <v>4.3499999999999996</v>
      </c>
      <c r="G55" s="12">
        <v>1</v>
      </c>
      <c r="H55" s="8">
        <v>0.19</v>
      </c>
      <c r="I55" s="12">
        <v>0</v>
      </c>
    </row>
    <row r="56" spans="2:9" ht="15" customHeight="1" x14ac:dyDescent="0.2">
      <c r="B56" t="s">
        <v>156</v>
      </c>
      <c r="C56" s="12">
        <v>19</v>
      </c>
      <c r="D56" s="8">
        <v>1.96</v>
      </c>
      <c r="E56" s="12">
        <v>9</v>
      </c>
      <c r="F56" s="8">
        <v>2.06</v>
      </c>
      <c r="G56" s="12">
        <v>10</v>
      </c>
      <c r="H56" s="8">
        <v>1.91</v>
      </c>
      <c r="I56" s="12">
        <v>0</v>
      </c>
    </row>
    <row r="57" spans="2:9" ht="15" customHeight="1" x14ac:dyDescent="0.2">
      <c r="B57" t="s">
        <v>160</v>
      </c>
      <c r="C57" s="12">
        <v>19</v>
      </c>
      <c r="D57" s="8">
        <v>1.96</v>
      </c>
      <c r="E57" s="12">
        <v>2</v>
      </c>
      <c r="F57" s="8">
        <v>0.46</v>
      </c>
      <c r="G57" s="12">
        <v>17</v>
      </c>
      <c r="H57" s="8">
        <v>3.25</v>
      </c>
      <c r="I57" s="12">
        <v>0</v>
      </c>
    </row>
    <row r="58" spans="2:9" ht="15" customHeight="1" x14ac:dyDescent="0.2">
      <c r="B58" t="s">
        <v>157</v>
      </c>
      <c r="C58" s="12">
        <v>18</v>
      </c>
      <c r="D58" s="8">
        <v>1.86</v>
      </c>
      <c r="E58" s="12">
        <v>10</v>
      </c>
      <c r="F58" s="8">
        <v>2.29</v>
      </c>
      <c r="G58" s="12">
        <v>8</v>
      </c>
      <c r="H58" s="8">
        <v>1.53</v>
      </c>
      <c r="I58" s="12">
        <v>0</v>
      </c>
    </row>
    <row r="59" spans="2:9" ht="15" customHeight="1" x14ac:dyDescent="0.2">
      <c r="B59" t="s">
        <v>163</v>
      </c>
      <c r="C59" s="12">
        <v>17</v>
      </c>
      <c r="D59" s="8">
        <v>1.76</v>
      </c>
      <c r="E59" s="12">
        <v>10</v>
      </c>
      <c r="F59" s="8">
        <v>2.29</v>
      </c>
      <c r="G59" s="12">
        <v>7</v>
      </c>
      <c r="H59" s="8">
        <v>1.34</v>
      </c>
      <c r="I59" s="12">
        <v>0</v>
      </c>
    </row>
    <row r="60" spans="2:9" ht="15" customHeight="1" x14ac:dyDescent="0.2">
      <c r="B60" t="s">
        <v>176</v>
      </c>
      <c r="C60" s="12">
        <v>16</v>
      </c>
      <c r="D60" s="8">
        <v>1.65</v>
      </c>
      <c r="E60" s="12">
        <v>13</v>
      </c>
      <c r="F60" s="8">
        <v>2.97</v>
      </c>
      <c r="G60" s="12">
        <v>3</v>
      </c>
      <c r="H60" s="8">
        <v>0.56999999999999995</v>
      </c>
      <c r="I60" s="12">
        <v>0</v>
      </c>
    </row>
    <row r="61" spans="2:9" ht="15" customHeight="1" x14ac:dyDescent="0.2">
      <c r="B61" t="s">
        <v>153</v>
      </c>
      <c r="C61" s="12">
        <v>15</v>
      </c>
      <c r="D61" s="8">
        <v>1.55</v>
      </c>
      <c r="E61" s="12">
        <v>0</v>
      </c>
      <c r="F61" s="8">
        <v>0</v>
      </c>
      <c r="G61" s="12">
        <v>15</v>
      </c>
      <c r="H61" s="8">
        <v>2.87</v>
      </c>
      <c r="I61" s="12">
        <v>0</v>
      </c>
    </row>
    <row r="62" spans="2:9" ht="15" customHeight="1" x14ac:dyDescent="0.2">
      <c r="B62" t="s">
        <v>203</v>
      </c>
      <c r="C62" s="12">
        <v>14</v>
      </c>
      <c r="D62" s="8">
        <v>1.45</v>
      </c>
      <c r="E62" s="12">
        <v>1</v>
      </c>
      <c r="F62" s="8">
        <v>0.23</v>
      </c>
      <c r="G62" s="12">
        <v>13</v>
      </c>
      <c r="H62" s="8">
        <v>2.4900000000000002</v>
      </c>
      <c r="I62" s="12">
        <v>0</v>
      </c>
    </row>
    <row r="63" spans="2:9" ht="15" customHeight="1" x14ac:dyDescent="0.2">
      <c r="B63" t="s">
        <v>202</v>
      </c>
      <c r="C63" s="12">
        <v>14</v>
      </c>
      <c r="D63" s="8">
        <v>1.45</v>
      </c>
      <c r="E63" s="12">
        <v>3</v>
      </c>
      <c r="F63" s="8">
        <v>0.69</v>
      </c>
      <c r="G63" s="12">
        <v>11</v>
      </c>
      <c r="H63" s="8">
        <v>2.1</v>
      </c>
      <c r="I63" s="12">
        <v>0</v>
      </c>
    </row>
    <row r="64" spans="2:9" ht="15" customHeight="1" x14ac:dyDescent="0.2">
      <c r="B64" t="s">
        <v>186</v>
      </c>
      <c r="C64" s="12">
        <v>13</v>
      </c>
      <c r="D64" s="8">
        <v>1.34</v>
      </c>
      <c r="E64" s="12">
        <v>6</v>
      </c>
      <c r="F64" s="8">
        <v>1.37</v>
      </c>
      <c r="G64" s="12">
        <v>7</v>
      </c>
      <c r="H64" s="8">
        <v>1.34</v>
      </c>
      <c r="I64" s="12">
        <v>0</v>
      </c>
    </row>
    <row r="65" spans="2:9" ht="15" customHeight="1" x14ac:dyDescent="0.2">
      <c r="B65" t="s">
        <v>154</v>
      </c>
      <c r="C65" s="12">
        <v>12</v>
      </c>
      <c r="D65" s="8">
        <v>1.24</v>
      </c>
      <c r="E65" s="12">
        <v>2</v>
      </c>
      <c r="F65" s="8">
        <v>0.46</v>
      </c>
      <c r="G65" s="12">
        <v>10</v>
      </c>
      <c r="H65" s="8">
        <v>1.91</v>
      </c>
      <c r="I65" s="12">
        <v>0</v>
      </c>
    </row>
    <row r="66" spans="2:9" ht="15" customHeight="1" x14ac:dyDescent="0.2">
      <c r="B66" t="s">
        <v>152</v>
      </c>
      <c r="C66" s="12">
        <v>11</v>
      </c>
      <c r="D66" s="8">
        <v>1.1399999999999999</v>
      </c>
      <c r="E66" s="12">
        <v>1</v>
      </c>
      <c r="F66" s="8">
        <v>0.23</v>
      </c>
      <c r="G66" s="12">
        <v>10</v>
      </c>
      <c r="H66" s="8">
        <v>1.91</v>
      </c>
      <c r="I66" s="12">
        <v>0</v>
      </c>
    </row>
    <row r="67" spans="2:9" ht="15" customHeight="1" x14ac:dyDescent="0.2">
      <c r="B67" t="s">
        <v>155</v>
      </c>
      <c r="C67" s="12">
        <v>11</v>
      </c>
      <c r="D67" s="8">
        <v>1.1399999999999999</v>
      </c>
      <c r="E67" s="12">
        <v>3</v>
      </c>
      <c r="F67" s="8">
        <v>0.69</v>
      </c>
      <c r="G67" s="12">
        <v>8</v>
      </c>
      <c r="H67" s="8">
        <v>1.53</v>
      </c>
      <c r="I67" s="12">
        <v>0</v>
      </c>
    </row>
    <row r="68" spans="2:9" ht="15" customHeight="1" x14ac:dyDescent="0.2">
      <c r="B68" t="s">
        <v>197</v>
      </c>
      <c r="C68" s="12">
        <v>11</v>
      </c>
      <c r="D68" s="8">
        <v>1.1399999999999999</v>
      </c>
      <c r="E68" s="12">
        <v>2</v>
      </c>
      <c r="F68" s="8">
        <v>0.46</v>
      </c>
      <c r="G68" s="12">
        <v>9</v>
      </c>
      <c r="H68" s="8">
        <v>1.72</v>
      </c>
      <c r="I68" s="12">
        <v>0</v>
      </c>
    </row>
    <row r="69" spans="2:9" ht="15" customHeight="1" x14ac:dyDescent="0.2">
      <c r="B69" t="s">
        <v>210</v>
      </c>
      <c r="C69" s="12">
        <v>11</v>
      </c>
      <c r="D69" s="8">
        <v>1.1399999999999999</v>
      </c>
      <c r="E69" s="12">
        <v>8</v>
      </c>
      <c r="F69" s="8">
        <v>1.83</v>
      </c>
      <c r="G69" s="12">
        <v>3</v>
      </c>
      <c r="H69" s="8">
        <v>0.56999999999999995</v>
      </c>
      <c r="I69" s="12">
        <v>0</v>
      </c>
    </row>
    <row r="70" spans="2:9" ht="15" customHeight="1" x14ac:dyDescent="0.2">
      <c r="B70" t="s">
        <v>220</v>
      </c>
      <c r="C70" s="12">
        <v>11</v>
      </c>
      <c r="D70" s="8">
        <v>1.1399999999999999</v>
      </c>
      <c r="E70" s="12">
        <v>4</v>
      </c>
      <c r="F70" s="8">
        <v>0.92</v>
      </c>
      <c r="G70" s="12">
        <v>7</v>
      </c>
      <c r="H70" s="8">
        <v>1.34</v>
      </c>
      <c r="I70" s="12">
        <v>0</v>
      </c>
    </row>
    <row r="71" spans="2:9" ht="15" customHeight="1" x14ac:dyDescent="0.2">
      <c r="B71" t="s">
        <v>169</v>
      </c>
      <c r="C71" s="12">
        <v>11</v>
      </c>
      <c r="D71" s="8">
        <v>1.1399999999999999</v>
      </c>
      <c r="E71" s="12">
        <v>8</v>
      </c>
      <c r="F71" s="8">
        <v>1.83</v>
      </c>
      <c r="G71" s="12">
        <v>3</v>
      </c>
      <c r="H71" s="8">
        <v>0.56999999999999995</v>
      </c>
      <c r="I71" s="12">
        <v>0</v>
      </c>
    </row>
    <row r="73" spans="2:9" ht="15" customHeight="1" x14ac:dyDescent="0.2">
      <c r="B73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DA11-E1AB-4B23-8789-DD19C2D4CBB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322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2">
      <c r="B6" t="s">
        <v>72</v>
      </c>
      <c r="C6" s="12">
        <v>255</v>
      </c>
      <c r="D6" s="8">
        <v>17.36</v>
      </c>
      <c r="E6" s="12">
        <v>38</v>
      </c>
      <c r="F6" s="8">
        <v>6.03</v>
      </c>
      <c r="G6" s="12">
        <v>217</v>
      </c>
      <c r="H6" s="8">
        <v>26.3</v>
      </c>
      <c r="I6" s="12">
        <v>0</v>
      </c>
    </row>
    <row r="7" spans="2:9" ht="15" customHeight="1" x14ac:dyDescent="0.2">
      <c r="B7" t="s">
        <v>73</v>
      </c>
      <c r="C7" s="12">
        <v>120</v>
      </c>
      <c r="D7" s="8">
        <v>8.17</v>
      </c>
      <c r="E7" s="12">
        <v>36</v>
      </c>
      <c r="F7" s="8">
        <v>5.71</v>
      </c>
      <c r="G7" s="12">
        <v>84</v>
      </c>
      <c r="H7" s="8">
        <v>10.18</v>
      </c>
      <c r="I7" s="12">
        <v>0</v>
      </c>
    </row>
    <row r="8" spans="2:9" ht="15" customHeight="1" x14ac:dyDescent="0.2">
      <c r="B8" t="s">
        <v>74</v>
      </c>
      <c r="C8" s="12">
        <v>5</v>
      </c>
      <c r="D8" s="8">
        <v>0.34</v>
      </c>
      <c r="E8" s="12">
        <v>0</v>
      </c>
      <c r="F8" s="8">
        <v>0</v>
      </c>
      <c r="G8" s="12">
        <v>5</v>
      </c>
      <c r="H8" s="8">
        <v>0.61</v>
      </c>
      <c r="I8" s="12">
        <v>0</v>
      </c>
    </row>
    <row r="9" spans="2:9" ht="15" customHeight="1" x14ac:dyDescent="0.2">
      <c r="B9" t="s">
        <v>75</v>
      </c>
      <c r="C9" s="12">
        <v>11</v>
      </c>
      <c r="D9" s="8">
        <v>0.75</v>
      </c>
      <c r="E9" s="12">
        <v>0</v>
      </c>
      <c r="F9" s="8">
        <v>0</v>
      </c>
      <c r="G9" s="12">
        <v>11</v>
      </c>
      <c r="H9" s="8">
        <v>1.33</v>
      </c>
      <c r="I9" s="12">
        <v>0</v>
      </c>
    </row>
    <row r="10" spans="2:9" ht="15" customHeight="1" x14ac:dyDescent="0.2">
      <c r="B10" t="s">
        <v>76</v>
      </c>
      <c r="C10" s="12">
        <v>18</v>
      </c>
      <c r="D10" s="8">
        <v>1.23</v>
      </c>
      <c r="E10" s="12">
        <v>2</v>
      </c>
      <c r="F10" s="8">
        <v>0.32</v>
      </c>
      <c r="G10" s="12">
        <v>16</v>
      </c>
      <c r="H10" s="8">
        <v>1.94</v>
      </c>
      <c r="I10" s="12">
        <v>0</v>
      </c>
    </row>
    <row r="11" spans="2:9" ht="15" customHeight="1" x14ac:dyDescent="0.2">
      <c r="B11" t="s">
        <v>77</v>
      </c>
      <c r="C11" s="12">
        <v>244</v>
      </c>
      <c r="D11" s="8">
        <v>16.61</v>
      </c>
      <c r="E11" s="12">
        <v>83</v>
      </c>
      <c r="F11" s="8">
        <v>13.17</v>
      </c>
      <c r="G11" s="12">
        <v>161</v>
      </c>
      <c r="H11" s="8">
        <v>19.52</v>
      </c>
      <c r="I11" s="12">
        <v>0</v>
      </c>
    </row>
    <row r="12" spans="2:9" ht="15" customHeight="1" x14ac:dyDescent="0.2">
      <c r="B12" t="s">
        <v>78</v>
      </c>
      <c r="C12" s="12">
        <v>15</v>
      </c>
      <c r="D12" s="8">
        <v>1.02</v>
      </c>
      <c r="E12" s="12">
        <v>5</v>
      </c>
      <c r="F12" s="8">
        <v>0.79</v>
      </c>
      <c r="G12" s="12">
        <v>10</v>
      </c>
      <c r="H12" s="8">
        <v>1.21</v>
      </c>
      <c r="I12" s="12">
        <v>0</v>
      </c>
    </row>
    <row r="13" spans="2:9" ht="15" customHeight="1" x14ac:dyDescent="0.2">
      <c r="B13" t="s">
        <v>79</v>
      </c>
      <c r="C13" s="12">
        <v>166</v>
      </c>
      <c r="D13" s="8">
        <v>11.3</v>
      </c>
      <c r="E13" s="12">
        <v>58</v>
      </c>
      <c r="F13" s="8">
        <v>9.2100000000000009</v>
      </c>
      <c r="G13" s="12">
        <v>108</v>
      </c>
      <c r="H13" s="8">
        <v>13.09</v>
      </c>
      <c r="I13" s="12">
        <v>0</v>
      </c>
    </row>
    <row r="14" spans="2:9" ht="15" customHeight="1" x14ac:dyDescent="0.2">
      <c r="B14" t="s">
        <v>80</v>
      </c>
      <c r="C14" s="12">
        <v>98</v>
      </c>
      <c r="D14" s="8">
        <v>6.67</v>
      </c>
      <c r="E14" s="12">
        <v>48</v>
      </c>
      <c r="F14" s="8">
        <v>7.62</v>
      </c>
      <c r="G14" s="12">
        <v>48</v>
      </c>
      <c r="H14" s="8">
        <v>5.82</v>
      </c>
      <c r="I14" s="12">
        <v>2</v>
      </c>
    </row>
    <row r="15" spans="2:9" ht="15" customHeight="1" x14ac:dyDescent="0.2">
      <c r="B15" t="s">
        <v>81</v>
      </c>
      <c r="C15" s="12">
        <v>128</v>
      </c>
      <c r="D15" s="8">
        <v>8.7100000000000009</v>
      </c>
      <c r="E15" s="12">
        <v>102</v>
      </c>
      <c r="F15" s="8">
        <v>16.190000000000001</v>
      </c>
      <c r="G15" s="12">
        <v>25</v>
      </c>
      <c r="H15" s="8">
        <v>3.03</v>
      </c>
      <c r="I15" s="12">
        <v>0</v>
      </c>
    </row>
    <row r="16" spans="2:9" ht="15" customHeight="1" x14ac:dyDescent="0.2">
      <c r="B16" t="s">
        <v>82</v>
      </c>
      <c r="C16" s="12">
        <v>180</v>
      </c>
      <c r="D16" s="8">
        <v>12.25</v>
      </c>
      <c r="E16" s="12">
        <v>130</v>
      </c>
      <c r="F16" s="8">
        <v>20.63</v>
      </c>
      <c r="G16" s="12">
        <v>50</v>
      </c>
      <c r="H16" s="8">
        <v>6.06</v>
      </c>
      <c r="I16" s="12">
        <v>0</v>
      </c>
    </row>
    <row r="17" spans="2:9" ht="15" customHeight="1" x14ac:dyDescent="0.2">
      <c r="B17" t="s">
        <v>83</v>
      </c>
      <c r="C17" s="12">
        <v>88</v>
      </c>
      <c r="D17" s="8">
        <v>5.99</v>
      </c>
      <c r="E17" s="12">
        <v>59</v>
      </c>
      <c r="F17" s="8">
        <v>9.3699999999999992</v>
      </c>
      <c r="G17" s="12">
        <v>20</v>
      </c>
      <c r="H17" s="8">
        <v>2.42</v>
      </c>
      <c r="I17" s="12">
        <v>0</v>
      </c>
    </row>
    <row r="18" spans="2:9" ht="15" customHeight="1" x14ac:dyDescent="0.2">
      <c r="B18" t="s">
        <v>84</v>
      </c>
      <c r="C18" s="12">
        <v>90</v>
      </c>
      <c r="D18" s="8">
        <v>6.13</v>
      </c>
      <c r="E18" s="12">
        <v>58</v>
      </c>
      <c r="F18" s="8">
        <v>9.2100000000000009</v>
      </c>
      <c r="G18" s="12">
        <v>32</v>
      </c>
      <c r="H18" s="8">
        <v>3.88</v>
      </c>
      <c r="I18" s="12">
        <v>0</v>
      </c>
    </row>
    <row r="19" spans="2:9" ht="15" customHeight="1" x14ac:dyDescent="0.2">
      <c r="B19" t="s">
        <v>85</v>
      </c>
      <c r="C19" s="12">
        <v>50</v>
      </c>
      <c r="D19" s="8">
        <v>3.4</v>
      </c>
      <c r="E19" s="12">
        <v>11</v>
      </c>
      <c r="F19" s="8">
        <v>1.75</v>
      </c>
      <c r="G19" s="12">
        <v>37</v>
      </c>
      <c r="H19" s="8">
        <v>4.4800000000000004</v>
      </c>
      <c r="I19" s="12">
        <v>0</v>
      </c>
    </row>
    <row r="20" spans="2:9" ht="15" customHeight="1" x14ac:dyDescent="0.2">
      <c r="B20" s="9" t="s">
        <v>277</v>
      </c>
      <c r="C20" s="12">
        <f>SUM(LTBL_23226[総数／事業所数])</f>
        <v>1469</v>
      </c>
      <c r="E20" s="12">
        <f>SUBTOTAL(109,LTBL_23226[個人／事業所数])</f>
        <v>630</v>
      </c>
      <c r="G20" s="12">
        <f>SUBTOTAL(109,LTBL_23226[法人／事業所数])</f>
        <v>825</v>
      </c>
      <c r="I20" s="12">
        <f>SUBTOTAL(109,LTBL_23226[法人以外の団体／事業所数])</f>
        <v>2</v>
      </c>
    </row>
    <row r="21" spans="2:9" ht="15" customHeight="1" x14ac:dyDescent="0.2">
      <c r="E21" s="11">
        <f>LTBL_23226[[#Totals],[個人／事業所数]]/LTBL_23226[[#Totals],[総数／事業所数]]</f>
        <v>0.42886317222600406</v>
      </c>
      <c r="G21" s="11">
        <f>LTBL_23226[[#Totals],[法人／事業所数]]/LTBL_23226[[#Totals],[総数／事業所数]]</f>
        <v>0.56160653505786251</v>
      </c>
      <c r="I21" s="11">
        <f>LTBL_23226[[#Totals],[法人以外の団体／事業所数]]/LTBL_23226[[#Totals],[総数／事業所数]]</f>
        <v>1.3614703880190605E-3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154</v>
      </c>
      <c r="D24" s="8">
        <v>10.48</v>
      </c>
      <c r="E24" s="12">
        <v>120</v>
      </c>
      <c r="F24" s="8">
        <v>19.05</v>
      </c>
      <c r="G24" s="12">
        <v>34</v>
      </c>
      <c r="H24" s="8">
        <v>4.12</v>
      </c>
      <c r="I24" s="12">
        <v>0</v>
      </c>
    </row>
    <row r="25" spans="2:9" ht="15" customHeight="1" x14ac:dyDescent="0.2">
      <c r="B25" t="s">
        <v>107</v>
      </c>
      <c r="C25" s="12">
        <v>129</v>
      </c>
      <c r="D25" s="8">
        <v>8.7799999999999994</v>
      </c>
      <c r="E25" s="12">
        <v>52</v>
      </c>
      <c r="F25" s="8">
        <v>8.25</v>
      </c>
      <c r="G25" s="12">
        <v>77</v>
      </c>
      <c r="H25" s="8">
        <v>9.33</v>
      </c>
      <c r="I25" s="12">
        <v>0</v>
      </c>
    </row>
    <row r="26" spans="2:9" ht="15" customHeight="1" x14ac:dyDescent="0.2">
      <c r="B26" t="s">
        <v>110</v>
      </c>
      <c r="C26" s="12">
        <v>116</v>
      </c>
      <c r="D26" s="8">
        <v>7.9</v>
      </c>
      <c r="E26" s="12">
        <v>96</v>
      </c>
      <c r="F26" s="8">
        <v>15.24</v>
      </c>
      <c r="G26" s="12">
        <v>20</v>
      </c>
      <c r="H26" s="8">
        <v>2.42</v>
      </c>
      <c r="I26" s="12">
        <v>0</v>
      </c>
    </row>
    <row r="27" spans="2:9" ht="15" customHeight="1" x14ac:dyDescent="0.2">
      <c r="B27" t="s">
        <v>94</v>
      </c>
      <c r="C27" s="12">
        <v>106</v>
      </c>
      <c r="D27" s="8">
        <v>7.22</v>
      </c>
      <c r="E27" s="12">
        <v>9</v>
      </c>
      <c r="F27" s="8">
        <v>1.43</v>
      </c>
      <c r="G27" s="12">
        <v>97</v>
      </c>
      <c r="H27" s="8">
        <v>11.76</v>
      </c>
      <c r="I27" s="12">
        <v>0</v>
      </c>
    </row>
    <row r="28" spans="2:9" ht="15" customHeight="1" x14ac:dyDescent="0.2">
      <c r="B28" t="s">
        <v>112</v>
      </c>
      <c r="C28" s="12">
        <v>88</v>
      </c>
      <c r="D28" s="8">
        <v>5.99</v>
      </c>
      <c r="E28" s="12">
        <v>59</v>
      </c>
      <c r="F28" s="8">
        <v>9.3699999999999992</v>
      </c>
      <c r="G28" s="12">
        <v>20</v>
      </c>
      <c r="H28" s="8">
        <v>2.42</v>
      </c>
      <c r="I28" s="12">
        <v>0</v>
      </c>
    </row>
    <row r="29" spans="2:9" ht="15" customHeight="1" x14ac:dyDescent="0.2">
      <c r="B29" t="s">
        <v>105</v>
      </c>
      <c r="C29" s="12">
        <v>76</v>
      </c>
      <c r="D29" s="8">
        <v>5.17</v>
      </c>
      <c r="E29" s="12">
        <v>38</v>
      </c>
      <c r="F29" s="8">
        <v>6.03</v>
      </c>
      <c r="G29" s="12">
        <v>38</v>
      </c>
      <c r="H29" s="8">
        <v>4.6100000000000003</v>
      </c>
      <c r="I29" s="12">
        <v>0</v>
      </c>
    </row>
    <row r="30" spans="2:9" ht="15" customHeight="1" x14ac:dyDescent="0.2">
      <c r="B30" t="s">
        <v>96</v>
      </c>
      <c r="C30" s="12">
        <v>75</v>
      </c>
      <c r="D30" s="8">
        <v>5.1100000000000003</v>
      </c>
      <c r="E30" s="12">
        <v>7</v>
      </c>
      <c r="F30" s="8">
        <v>1.1100000000000001</v>
      </c>
      <c r="G30" s="12">
        <v>68</v>
      </c>
      <c r="H30" s="8">
        <v>8.24</v>
      </c>
      <c r="I30" s="12">
        <v>0</v>
      </c>
    </row>
    <row r="31" spans="2:9" ht="15" customHeight="1" x14ac:dyDescent="0.2">
      <c r="B31" t="s">
        <v>95</v>
      </c>
      <c r="C31" s="12">
        <v>74</v>
      </c>
      <c r="D31" s="8">
        <v>5.04</v>
      </c>
      <c r="E31" s="12">
        <v>22</v>
      </c>
      <c r="F31" s="8">
        <v>3.49</v>
      </c>
      <c r="G31" s="12">
        <v>52</v>
      </c>
      <c r="H31" s="8">
        <v>6.3</v>
      </c>
      <c r="I31" s="12">
        <v>0</v>
      </c>
    </row>
    <row r="32" spans="2:9" ht="15" customHeight="1" x14ac:dyDescent="0.2">
      <c r="B32" t="s">
        <v>113</v>
      </c>
      <c r="C32" s="12">
        <v>63</v>
      </c>
      <c r="D32" s="8">
        <v>4.29</v>
      </c>
      <c r="E32" s="12">
        <v>57</v>
      </c>
      <c r="F32" s="8">
        <v>9.0500000000000007</v>
      </c>
      <c r="G32" s="12">
        <v>6</v>
      </c>
      <c r="H32" s="8">
        <v>0.73</v>
      </c>
      <c r="I32" s="12">
        <v>0</v>
      </c>
    </row>
    <row r="33" spans="2:9" ht="15" customHeight="1" x14ac:dyDescent="0.2">
      <c r="B33" t="s">
        <v>108</v>
      </c>
      <c r="C33" s="12">
        <v>51</v>
      </c>
      <c r="D33" s="8">
        <v>3.47</v>
      </c>
      <c r="E33" s="12">
        <v>32</v>
      </c>
      <c r="F33" s="8">
        <v>5.08</v>
      </c>
      <c r="G33" s="12">
        <v>18</v>
      </c>
      <c r="H33" s="8">
        <v>2.1800000000000002</v>
      </c>
      <c r="I33" s="12">
        <v>1</v>
      </c>
    </row>
    <row r="34" spans="2:9" ht="15" customHeight="1" x14ac:dyDescent="0.2">
      <c r="B34" t="s">
        <v>104</v>
      </c>
      <c r="C34" s="12">
        <v>50</v>
      </c>
      <c r="D34" s="8">
        <v>3.4</v>
      </c>
      <c r="E34" s="12">
        <v>16</v>
      </c>
      <c r="F34" s="8">
        <v>2.54</v>
      </c>
      <c r="G34" s="12">
        <v>34</v>
      </c>
      <c r="H34" s="8">
        <v>4.12</v>
      </c>
      <c r="I34" s="12">
        <v>0</v>
      </c>
    </row>
    <row r="35" spans="2:9" ht="15" customHeight="1" x14ac:dyDescent="0.2">
      <c r="B35" t="s">
        <v>109</v>
      </c>
      <c r="C35" s="12">
        <v>44</v>
      </c>
      <c r="D35" s="8">
        <v>3</v>
      </c>
      <c r="E35" s="12">
        <v>16</v>
      </c>
      <c r="F35" s="8">
        <v>2.54</v>
      </c>
      <c r="G35" s="12">
        <v>28</v>
      </c>
      <c r="H35" s="8">
        <v>3.39</v>
      </c>
      <c r="I35" s="12">
        <v>0</v>
      </c>
    </row>
    <row r="36" spans="2:9" ht="15" customHeight="1" x14ac:dyDescent="0.2">
      <c r="B36" t="s">
        <v>106</v>
      </c>
      <c r="C36" s="12">
        <v>29</v>
      </c>
      <c r="D36" s="8">
        <v>1.97</v>
      </c>
      <c r="E36" s="12">
        <v>5</v>
      </c>
      <c r="F36" s="8">
        <v>0.79</v>
      </c>
      <c r="G36" s="12">
        <v>24</v>
      </c>
      <c r="H36" s="8">
        <v>2.91</v>
      </c>
      <c r="I36" s="12">
        <v>0</v>
      </c>
    </row>
    <row r="37" spans="2:9" ht="15" customHeight="1" x14ac:dyDescent="0.2">
      <c r="B37" t="s">
        <v>116</v>
      </c>
      <c r="C37" s="12">
        <v>27</v>
      </c>
      <c r="D37" s="8">
        <v>1.84</v>
      </c>
      <c r="E37" s="12">
        <v>1</v>
      </c>
      <c r="F37" s="8">
        <v>0.16</v>
      </c>
      <c r="G37" s="12">
        <v>26</v>
      </c>
      <c r="H37" s="8">
        <v>3.15</v>
      </c>
      <c r="I37" s="12">
        <v>0</v>
      </c>
    </row>
    <row r="38" spans="2:9" ht="15" customHeight="1" x14ac:dyDescent="0.2">
      <c r="B38" t="s">
        <v>103</v>
      </c>
      <c r="C38" s="12">
        <v>24</v>
      </c>
      <c r="D38" s="8">
        <v>1.63</v>
      </c>
      <c r="E38" s="12">
        <v>14</v>
      </c>
      <c r="F38" s="8">
        <v>2.2200000000000002</v>
      </c>
      <c r="G38" s="12">
        <v>10</v>
      </c>
      <c r="H38" s="8">
        <v>1.21</v>
      </c>
      <c r="I38" s="12">
        <v>0</v>
      </c>
    </row>
    <row r="39" spans="2:9" ht="15" customHeight="1" x14ac:dyDescent="0.2">
      <c r="B39" t="s">
        <v>101</v>
      </c>
      <c r="C39" s="12">
        <v>22</v>
      </c>
      <c r="D39" s="8">
        <v>1.5</v>
      </c>
      <c r="E39" s="12">
        <v>7</v>
      </c>
      <c r="F39" s="8">
        <v>1.1100000000000001</v>
      </c>
      <c r="G39" s="12">
        <v>15</v>
      </c>
      <c r="H39" s="8">
        <v>1.82</v>
      </c>
      <c r="I39" s="12">
        <v>0</v>
      </c>
    </row>
    <row r="40" spans="2:9" ht="15" customHeight="1" x14ac:dyDescent="0.2">
      <c r="B40" t="s">
        <v>98</v>
      </c>
      <c r="C40" s="12">
        <v>21</v>
      </c>
      <c r="D40" s="8">
        <v>1.43</v>
      </c>
      <c r="E40" s="12">
        <v>5</v>
      </c>
      <c r="F40" s="8">
        <v>0.79</v>
      </c>
      <c r="G40" s="12">
        <v>16</v>
      </c>
      <c r="H40" s="8">
        <v>1.94</v>
      </c>
      <c r="I40" s="12">
        <v>0</v>
      </c>
    </row>
    <row r="41" spans="2:9" ht="15" customHeight="1" x14ac:dyDescent="0.2">
      <c r="B41" t="s">
        <v>114</v>
      </c>
      <c r="C41" s="12">
        <v>20</v>
      </c>
      <c r="D41" s="8">
        <v>1.36</v>
      </c>
      <c r="E41" s="12">
        <v>3</v>
      </c>
      <c r="F41" s="8">
        <v>0.48</v>
      </c>
      <c r="G41" s="12">
        <v>17</v>
      </c>
      <c r="H41" s="8">
        <v>2.06</v>
      </c>
      <c r="I41" s="12">
        <v>0</v>
      </c>
    </row>
    <row r="42" spans="2:9" ht="15" customHeight="1" x14ac:dyDescent="0.2">
      <c r="B42" t="s">
        <v>97</v>
      </c>
      <c r="C42" s="12">
        <v>19</v>
      </c>
      <c r="D42" s="8">
        <v>1.29</v>
      </c>
      <c r="E42" s="12">
        <v>9</v>
      </c>
      <c r="F42" s="8">
        <v>1.43</v>
      </c>
      <c r="G42" s="12">
        <v>10</v>
      </c>
      <c r="H42" s="8">
        <v>1.21</v>
      </c>
      <c r="I42" s="12">
        <v>0</v>
      </c>
    </row>
    <row r="43" spans="2:9" ht="15" customHeight="1" x14ac:dyDescent="0.2">
      <c r="B43" t="s">
        <v>99</v>
      </c>
      <c r="C43" s="12">
        <v>19</v>
      </c>
      <c r="D43" s="8">
        <v>1.29</v>
      </c>
      <c r="E43" s="12">
        <v>1</v>
      </c>
      <c r="F43" s="8">
        <v>0.16</v>
      </c>
      <c r="G43" s="12">
        <v>18</v>
      </c>
      <c r="H43" s="8">
        <v>2.1800000000000002</v>
      </c>
      <c r="I43" s="12">
        <v>0</v>
      </c>
    </row>
    <row r="44" spans="2:9" ht="15" customHeight="1" x14ac:dyDescent="0.2">
      <c r="B44" t="s">
        <v>100</v>
      </c>
      <c r="C44" s="12">
        <v>19</v>
      </c>
      <c r="D44" s="8">
        <v>1.29</v>
      </c>
      <c r="E44" s="12">
        <v>0</v>
      </c>
      <c r="F44" s="8">
        <v>0</v>
      </c>
      <c r="G44" s="12">
        <v>19</v>
      </c>
      <c r="H44" s="8">
        <v>2.2999999999999998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168</v>
      </c>
      <c r="C48" s="12">
        <v>91</v>
      </c>
      <c r="D48" s="8">
        <v>6.19</v>
      </c>
      <c r="E48" s="12">
        <v>75</v>
      </c>
      <c r="F48" s="8">
        <v>11.9</v>
      </c>
      <c r="G48" s="12">
        <v>16</v>
      </c>
      <c r="H48" s="8">
        <v>1.94</v>
      </c>
      <c r="I48" s="12">
        <v>0</v>
      </c>
    </row>
    <row r="49" spans="2:9" ht="15" customHeight="1" x14ac:dyDescent="0.2">
      <c r="B49" t="s">
        <v>161</v>
      </c>
      <c r="C49" s="12">
        <v>79</v>
      </c>
      <c r="D49" s="8">
        <v>5.38</v>
      </c>
      <c r="E49" s="12">
        <v>41</v>
      </c>
      <c r="F49" s="8">
        <v>6.51</v>
      </c>
      <c r="G49" s="12">
        <v>38</v>
      </c>
      <c r="H49" s="8">
        <v>4.6100000000000003</v>
      </c>
      <c r="I49" s="12">
        <v>0</v>
      </c>
    </row>
    <row r="50" spans="2:9" ht="15" customHeight="1" x14ac:dyDescent="0.2">
      <c r="B50" t="s">
        <v>170</v>
      </c>
      <c r="C50" s="12">
        <v>49</v>
      </c>
      <c r="D50" s="8">
        <v>3.34</v>
      </c>
      <c r="E50" s="12">
        <v>40</v>
      </c>
      <c r="F50" s="8">
        <v>6.35</v>
      </c>
      <c r="G50" s="12">
        <v>9</v>
      </c>
      <c r="H50" s="8">
        <v>1.0900000000000001</v>
      </c>
      <c r="I50" s="12">
        <v>0</v>
      </c>
    </row>
    <row r="51" spans="2:9" ht="15" customHeight="1" x14ac:dyDescent="0.2">
      <c r="B51" t="s">
        <v>171</v>
      </c>
      <c r="C51" s="12">
        <v>44</v>
      </c>
      <c r="D51" s="8">
        <v>3</v>
      </c>
      <c r="E51" s="12">
        <v>42</v>
      </c>
      <c r="F51" s="8">
        <v>6.67</v>
      </c>
      <c r="G51" s="12">
        <v>2</v>
      </c>
      <c r="H51" s="8">
        <v>0.24</v>
      </c>
      <c r="I51" s="12">
        <v>0</v>
      </c>
    </row>
    <row r="52" spans="2:9" ht="15" customHeight="1" x14ac:dyDescent="0.2">
      <c r="B52" t="s">
        <v>154</v>
      </c>
      <c r="C52" s="12">
        <v>36</v>
      </c>
      <c r="D52" s="8">
        <v>2.4500000000000002</v>
      </c>
      <c r="E52" s="12">
        <v>3</v>
      </c>
      <c r="F52" s="8">
        <v>0.48</v>
      </c>
      <c r="G52" s="12">
        <v>33</v>
      </c>
      <c r="H52" s="8">
        <v>4</v>
      </c>
      <c r="I52" s="12">
        <v>0</v>
      </c>
    </row>
    <row r="53" spans="2:9" ht="15" customHeight="1" x14ac:dyDescent="0.2">
      <c r="B53" t="s">
        <v>165</v>
      </c>
      <c r="C53" s="12">
        <v>36</v>
      </c>
      <c r="D53" s="8">
        <v>2.4500000000000002</v>
      </c>
      <c r="E53" s="12">
        <v>34</v>
      </c>
      <c r="F53" s="8">
        <v>5.4</v>
      </c>
      <c r="G53" s="12">
        <v>2</v>
      </c>
      <c r="H53" s="8">
        <v>0.24</v>
      </c>
      <c r="I53" s="12">
        <v>0</v>
      </c>
    </row>
    <row r="54" spans="2:9" ht="15" customHeight="1" x14ac:dyDescent="0.2">
      <c r="B54" t="s">
        <v>167</v>
      </c>
      <c r="C54" s="12">
        <v>36</v>
      </c>
      <c r="D54" s="8">
        <v>2.4500000000000002</v>
      </c>
      <c r="E54" s="12">
        <v>34</v>
      </c>
      <c r="F54" s="8">
        <v>5.4</v>
      </c>
      <c r="G54" s="12">
        <v>2</v>
      </c>
      <c r="H54" s="8">
        <v>0.24</v>
      </c>
      <c r="I54" s="12">
        <v>0</v>
      </c>
    </row>
    <row r="55" spans="2:9" ht="15" customHeight="1" x14ac:dyDescent="0.2">
      <c r="B55" t="s">
        <v>163</v>
      </c>
      <c r="C55" s="12">
        <v>34</v>
      </c>
      <c r="D55" s="8">
        <v>2.31</v>
      </c>
      <c r="E55" s="12">
        <v>24</v>
      </c>
      <c r="F55" s="8">
        <v>3.81</v>
      </c>
      <c r="G55" s="12">
        <v>10</v>
      </c>
      <c r="H55" s="8">
        <v>1.21</v>
      </c>
      <c r="I55" s="12">
        <v>0</v>
      </c>
    </row>
    <row r="56" spans="2:9" ht="15" customHeight="1" x14ac:dyDescent="0.2">
      <c r="B56" t="s">
        <v>156</v>
      </c>
      <c r="C56" s="12">
        <v>33</v>
      </c>
      <c r="D56" s="8">
        <v>2.25</v>
      </c>
      <c r="E56" s="12">
        <v>8</v>
      </c>
      <c r="F56" s="8">
        <v>1.27</v>
      </c>
      <c r="G56" s="12">
        <v>25</v>
      </c>
      <c r="H56" s="8">
        <v>3.03</v>
      </c>
      <c r="I56" s="12">
        <v>0</v>
      </c>
    </row>
    <row r="57" spans="2:9" ht="15" customHeight="1" x14ac:dyDescent="0.2">
      <c r="B57" t="s">
        <v>152</v>
      </c>
      <c r="C57" s="12">
        <v>31</v>
      </c>
      <c r="D57" s="8">
        <v>2.11</v>
      </c>
      <c r="E57" s="12">
        <v>4</v>
      </c>
      <c r="F57" s="8">
        <v>0.63</v>
      </c>
      <c r="G57" s="12">
        <v>27</v>
      </c>
      <c r="H57" s="8">
        <v>3.27</v>
      </c>
      <c r="I57" s="12">
        <v>0</v>
      </c>
    </row>
    <row r="58" spans="2:9" ht="15" customHeight="1" x14ac:dyDescent="0.2">
      <c r="B58" t="s">
        <v>160</v>
      </c>
      <c r="C58" s="12">
        <v>31</v>
      </c>
      <c r="D58" s="8">
        <v>2.11</v>
      </c>
      <c r="E58" s="12">
        <v>9</v>
      </c>
      <c r="F58" s="8">
        <v>1.43</v>
      </c>
      <c r="G58" s="12">
        <v>22</v>
      </c>
      <c r="H58" s="8">
        <v>2.67</v>
      </c>
      <c r="I58" s="12">
        <v>0</v>
      </c>
    </row>
    <row r="59" spans="2:9" ht="15" customHeight="1" x14ac:dyDescent="0.2">
      <c r="B59" t="s">
        <v>169</v>
      </c>
      <c r="C59" s="12">
        <v>28</v>
      </c>
      <c r="D59" s="8">
        <v>1.91</v>
      </c>
      <c r="E59" s="12">
        <v>19</v>
      </c>
      <c r="F59" s="8">
        <v>3.02</v>
      </c>
      <c r="G59" s="12">
        <v>9</v>
      </c>
      <c r="H59" s="8">
        <v>1.0900000000000001</v>
      </c>
      <c r="I59" s="12">
        <v>0</v>
      </c>
    </row>
    <row r="60" spans="2:9" ht="15" customHeight="1" x14ac:dyDescent="0.2">
      <c r="B60" t="s">
        <v>162</v>
      </c>
      <c r="C60" s="12">
        <v>27</v>
      </c>
      <c r="D60" s="8">
        <v>1.84</v>
      </c>
      <c r="E60" s="12">
        <v>9</v>
      </c>
      <c r="F60" s="8">
        <v>1.43</v>
      </c>
      <c r="G60" s="12">
        <v>18</v>
      </c>
      <c r="H60" s="8">
        <v>2.1800000000000002</v>
      </c>
      <c r="I60" s="12">
        <v>0</v>
      </c>
    </row>
    <row r="61" spans="2:9" ht="15" customHeight="1" x14ac:dyDescent="0.2">
      <c r="B61" t="s">
        <v>153</v>
      </c>
      <c r="C61" s="12">
        <v>26</v>
      </c>
      <c r="D61" s="8">
        <v>1.77</v>
      </c>
      <c r="E61" s="12">
        <v>0</v>
      </c>
      <c r="F61" s="8">
        <v>0</v>
      </c>
      <c r="G61" s="12">
        <v>26</v>
      </c>
      <c r="H61" s="8">
        <v>3.15</v>
      </c>
      <c r="I61" s="12">
        <v>0</v>
      </c>
    </row>
    <row r="62" spans="2:9" ht="15" customHeight="1" x14ac:dyDescent="0.2">
      <c r="B62" t="s">
        <v>203</v>
      </c>
      <c r="C62" s="12">
        <v>25</v>
      </c>
      <c r="D62" s="8">
        <v>1.7</v>
      </c>
      <c r="E62" s="12">
        <v>2</v>
      </c>
      <c r="F62" s="8">
        <v>0.32</v>
      </c>
      <c r="G62" s="12">
        <v>23</v>
      </c>
      <c r="H62" s="8">
        <v>2.79</v>
      </c>
      <c r="I62" s="12">
        <v>0</v>
      </c>
    </row>
    <row r="63" spans="2:9" ht="15" customHeight="1" x14ac:dyDescent="0.2">
      <c r="B63" t="s">
        <v>157</v>
      </c>
      <c r="C63" s="12">
        <v>23</v>
      </c>
      <c r="D63" s="8">
        <v>1.57</v>
      </c>
      <c r="E63" s="12">
        <v>7</v>
      </c>
      <c r="F63" s="8">
        <v>1.1100000000000001</v>
      </c>
      <c r="G63" s="12">
        <v>16</v>
      </c>
      <c r="H63" s="8">
        <v>1.94</v>
      </c>
      <c r="I63" s="12">
        <v>0</v>
      </c>
    </row>
    <row r="64" spans="2:9" ht="15" customHeight="1" x14ac:dyDescent="0.2">
      <c r="B64" t="s">
        <v>200</v>
      </c>
      <c r="C64" s="12">
        <v>20</v>
      </c>
      <c r="D64" s="8">
        <v>1.36</v>
      </c>
      <c r="E64" s="12">
        <v>5</v>
      </c>
      <c r="F64" s="8">
        <v>0.79</v>
      </c>
      <c r="G64" s="12">
        <v>15</v>
      </c>
      <c r="H64" s="8">
        <v>1.82</v>
      </c>
      <c r="I64" s="12">
        <v>0</v>
      </c>
    </row>
    <row r="65" spans="2:9" ht="15" customHeight="1" x14ac:dyDescent="0.2">
      <c r="B65" t="s">
        <v>155</v>
      </c>
      <c r="C65" s="12">
        <v>19</v>
      </c>
      <c r="D65" s="8">
        <v>1.29</v>
      </c>
      <c r="E65" s="12">
        <v>3</v>
      </c>
      <c r="F65" s="8">
        <v>0.48</v>
      </c>
      <c r="G65" s="12">
        <v>16</v>
      </c>
      <c r="H65" s="8">
        <v>1.94</v>
      </c>
      <c r="I65" s="12">
        <v>0</v>
      </c>
    </row>
    <row r="66" spans="2:9" ht="15" customHeight="1" x14ac:dyDescent="0.2">
      <c r="B66" t="s">
        <v>159</v>
      </c>
      <c r="C66" s="12">
        <v>19</v>
      </c>
      <c r="D66" s="8">
        <v>1.29</v>
      </c>
      <c r="E66" s="12">
        <v>4</v>
      </c>
      <c r="F66" s="8">
        <v>0.63</v>
      </c>
      <c r="G66" s="12">
        <v>15</v>
      </c>
      <c r="H66" s="8">
        <v>1.82</v>
      </c>
      <c r="I66" s="12">
        <v>0</v>
      </c>
    </row>
    <row r="67" spans="2:9" ht="15" customHeight="1" x14ac:dyDescent="0.2">
      <c r="B67" t="s">
        <v>205</v>
      </c>
      <c r="C67" s="12">
        <v>18</v>
      </c>
      <c r="D67" s="8">
        <v>1.23</v>
      </c>
      <c r="E67" s="12">
        <v>2</v>
      </c>
      <c r="F67" s="8">
        <v>0.32</v>
      </c>
      <c r="G67" s="12">
        <v>16</v>
      </c>
      <c r="H67" s="8">
        <v>1.94</v>
      </c>
      <c r="I67" s="12">
        <v>0</v>
      </c>
    </row>
    <row r="68" spans="2:9" ht="15" customHeight="1" x14ac:dyDescent="0.2">
      <c r="B68" t="s">
        <v>164</v>
      </c>
      <c r="C68" s="12">
        <v>18</v>
      </c>
      <c r="D68" s="8">
        <v>1.23</v>
      </c>
      <c r="E68" s="12">
        <v>16</v>
      </c>
      <c r="F68" s="8">
        <v>2.54</v>
      </c>
      <c r="G68" s="12">
        <v>2</v>
      </c>
      <c r="H68" s="8">
        <v>0.24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65644-3345-4165-ACDF-F2A4BBCE565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323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0.12</v>
      </c>
      <c r="E5" s="12">
        <v>0</v>
      </c>
      <c r="F5" s="8">
        <v>0</v>
      </c>
      <c r="G5" s="12">
        <v>1</v>
      </c>
      <c r="H5" s="8">
        <v>0.26</v>
      </c>
      <c r="I5" s="12">
        <v>0</v>
      </c>
    </row>
    <row r="6" spans="2:9" ht="15" customHeight="1" x14ac:dyDescent="0.2">
      <c r="B6" t="s">
        <v>72</v>
      </c>
      <c r="C6" s="12">
        <v>118</v>
      </c>
      <c r="D6" s="8">
        <v>13.75</v>
      </c>
      <c r="E6" s="12">
        <v>47</v>
      </c>
      <c r="F6" s="8">
        <v>9.94</v>
      </c>
      <c r="G6" s="12">
        <v>71</v>
      </c>
      <c r="H6" s="8">
        <v>18.64</v>
      </c>
      <c r="I6" s="12">
        <v>0</v>
      </c>
    </row>
    <row r="7" spans="2:9" ht="15" customHeight="1" x14ac:dyDescent="0.2">
      <c r="B7" t="s">
        <v>73</v>
      </c>
      <c r="C7" s="12">
        <v>158</v>
      </c>
      <c r="D7" s="8">
        <v>18.41</v>
      </c>
      <c r="E7" s="12">
        <v>65</v>
      </c>
      <c r="F7" s="8">
        <v>13.74</v>
      </c>
      <c r="G7" s="12">
        <v>93</v>
      </c>
      <c r="H7" s="8">
        <v>24.41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0.23</v>
      </c>
      <c r="E9" s="12">
        <v>0</v>
      </c>
      <c r="F9" s="8">
        <v>0</v>
      </c>
      <c r="G9" s="12">
        <v>2</v>
      </c>
      <c r="H9" s="8">
        <v>0.52</v>
      </c>
      <c r="I9" s="12">
        <v>0</v>
      </c>
    </row>
    <row r="10" spans="2:9" ht="15" customHeight="1" x14ac:dyDescent="0.2">
      <c r="B10" t="s">
        <v>76</v>
      </c>
      <c r="C10" s="12">
        <v>7</v>
      </c>
      <c r="D10" s="8">
        <v>0.82</v>
      </c>
      <c r="E10" s="12">
        <v>1</v>
      </c>
      <c r="F10" s="8">
        <v>0.21</v>
      </c>
      <c r="G10" s="12">
        <v>6</v>
      </c>
      <c r="H10" s="8">
        <v>1.57</v>
      </c>
      <c r="I10" s="12">
        <v>0</v>
      </c>
    </row>
    <row r="11" spans="2:9" ht="15" customHeight="1" x14ac:dyDescent="0.2">
      <c r="B11" t="s">
        <v>77</v>
      </c>
      <c r="C11" s="12">
        <v>182</v>
      </c>
      <c r="D11" s="8">
        <v>21.21</v>
      </c>
      <c r="E11" s="12">
        <v>96</v>
      </c>
      <c r="F11" s="8">
        <v>20.3</v>
      </c>
      <c r="G11" s="12">
        <v>85</v>
      </c>
      <c r="H11" s="8">
        <v>22.31</v>
      </c>
      <c r="I11" s="12">
        <v>1</v>
      </c>
    </row>
    <row r="12" spans="2:9" ht="15" customHeight="1" x14ac:dyDescent="0.2">
      <c r="B12" t="s">
        <v>78</v>
      </c>
      <c r="C12" s="12">
        <v>6</v>
      </c>
      <c r="D12" s="8">
        <v>0.7</v>
      </c>
      <c r="E12" s="12">
        <v>1</v>
      </c>
      <c r="F12" s="8">
        <v>0.21</v>
      </c>
      <c r="G12" s="12">
        <v>5</v>
      </c>
      <c r="H12" s="8">
        <v>1.31</v>
      </c>
      <c r="I12" s="12">
        <v>0</v>
      </c>
    </row>
    <row r="13" spans="2:9" ht="15" customHeight="1" x14ac:dyDescent="0.2">
      <c r="B13" t="s">
        <v>79</v>
      </c>
      <c r="C13" s="12">
        <v>68</v>
      </c>
      <c r="D13" s="8">
        <v>7.93</v>
      </c>
      <c r="E13" s="12">
        <v>25</v>
      </c>
      <c r="F13" s="8">
        <v>5.29</v>
      </c>
      <c r="G13" s="12">
        <v>43</v>
      </c>
      <c r="H13" s="8">
        <v>11.29</v>
      </c>
      <c r="I13" s="12">
        <v>0</v>
      </c>
    </row>
    <row r="14" spans="2:9" ht="15" customHeight="1" x14ac:dyDescent="0.2">
      <c r="B14" t="s">
        <v>80</v>
      </c>
      <c r="C14" s="12">
        <v>37</v>
      </c>
      <c r="D14" s="8">
        <v>4.3099999999999996</v>
      </c>
      <c r="E14" s="12">
        <v>26</v>
      </c>
      <c r="F14" s="8">
        <v>5.5</v>
      </c>
      <c r="G14" s="12">
        <v>11</v>
      </c>
      <c r="H14" s="8">
        <v>2.89</v>
      </c>
      <c r="I14" s="12">
        <v>0</v>
      </c>
    </row>
    <row r="15" spans="2:9" ht="15" customHeight="1" x14ac:dyDescent="0.2">
      <c r="B15" t="s">
        <v>81</v>
      </c>
      <c r="C15" s="12">
        <v>68</v>
      </c>
      <c r="D15" s="8">
        <v>7.93</v>
      </c>
      <c r="E15" s="12">
        <v>55</v>
      </c>
      <c r="F15" s="8">
        <v>11.63</v>
      </c>
      <c r="G15" s="12">
        <v>13</v>
      </c>
      <c r="H15" s="8">
        <v>3.41</v>
      </c>
      <c r="I15" s="12">
        <v>0</v>
      </c>
    </row>
    <row r="16" spans="2:9" ht="15" customHeight="1" x14ac:dyDescent="0.2">
      <c r="B16" t="s">
        <v>82</v>
      </c>
      <c r="C16" s="12">
        <v>104</v>
      </c>
      <c r="D16" s="8">
        <v>12.12</v>
      </c>
      <c r="E16" s="12">
        <v>88</v>
      </c>
      <c r="F16" s="8">
        <v>18.600000000000001</v>
      </c>
      <c r="G16" s="12">
        <v>16</v>
      </c>
      <c r="H16" s="8">
        <v>4.2</v>
      </c>
      <c r="I16" s="12">
        <v>0</v>
      </c>
    </row>
    <row r="17" spans="2:9" ht="15" customHeight="1" x14ac:dyDescent="0.2">
      <c r="B17" t="s">
        <v>83</v>
      </c>
      <c r="C17" s="12">
        <v>49</v>
      </c>
      <c r="D17" s="8">
        <v>5.71</v>
      </c>
      <c r="E17" s="12">
        <v>37</v>
      </c>
      <c r="F17" s="8">
        <v>7.82</v>
      </c>
      <c r="G17" s="12">
        <v>11</v>
      </c>
      <c r="H17" s="8">
        <v>2.89</v>
      </c>
      <c r="I17" s="12">
        <v>1</v>
      </c>
    </row>
    <row r="18" spans="2:9" ht="15" customHeight="1" x14ac:dyDescent="0.2">
      <c r="B18" t="s">
        <v>84</v>
      </c>
      <c r="C18" s="12">
        <v>36</v>
      </c>
      <c r="D18" s="8">
        <v>4.2</v>
      </c>
      <c r="E18" s="12">
        <v>22</v>
      </c>
      <c r="F18" s="8">
        <v>4.6500000000000004</v>
      </c>
      <c r="G18" s="12">
        <v>12</v>
      </c>
      <c r="H18" s="8">
        <v>3.15</v>
      </c>
      <c r="I18" s="12">
        <v>0</v>
      </c>
    </row>
    <row r="19" spans="2:9" ht="15" customHeight="1" x14ac:dyDescent="0.2">
      <c r="B19" t="s">
        <v>85</v>
      </c>
      <c r="C19" s="12">
        <v>22</v>
      </c>
      <c r="D19" s="8">
        <v>2.56</v>
      </c>
      <c r="E19" s="12">
        <v>10</v>
      </c>
      <c r="F19" s="8">
        <v>2.11</v>
      </c>
      <c r="G19" s="12">
        <v>12</v>
      </c>
      <c r="H19" s="8">
        <v>3.15</v>
      </c>
      <c r="I19" s="12">
        <v>0</v>
      </c>
    </row>
    <row r="20" spans="2:9" ht="15" customHeight="1" x14ac:dyDescent="0.2">
      <c r="B20" s="9" t="s">
        <v>277</v>
      </c>
      <c r="C20" s="12">
        <f>SUM(LTBL_23227[総数／事業所数])</f>
        <v>858</v>
      </c>
      <c r="E20" s="12">
        <f>SUBTOTAL(109,LTBL_23227[個人／事業所数])</f>
        <v>473</v>
      </c>
      <c r="G20" s="12">
        <f>SUBTOTAL(109,LTBL_23227[法人／事業所数])</f>
        <v>381</v>
      </c>
      <c r="I20" s="12">
        <f>SUBTOTAL(109,LTBL_23227[法人以外の団体／事業所数])</f>
        <v>2</v>
      </c>
    </row>
    <row r="21" spans="2:9" ht="15" customHeight="1" x14ac:dyDescent="0.2">
      <c r="E21" s="11">
        <f>LTBL_23227[[#Totals],[個人／事業所数]]/LTBL_23227[[#Totals],[総数／事業所数]]</f>
        <v>0.55128205128205132</v>
      </c>
      <c r="G21" s="11">
        <f>LTBL_23227[[#Totals],[法人／事業所数]]/LTBL_23227[[#Totals],[総数／事業所数]]</f>
        <v>0.44405594405594406</v>
      </c>
      <c r="I21" s="11">
        <f>LTBL_23227[[#Totals],[法人以外の団体／事業所数]]/LTBL_23227[[#Totals],[総数／事業所数]]</f>
        <v>2.331002331002331E-3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92</v>
      </c>
      <c r="D24" s="8">
        <v>10.72</v>
      </c>
      <c r="E24" s="12">
        <v>82</v>
      </c>
      <c r="F24" s="8">
        <v>17.34</v>
      </c>
      <c r="G24" s="12">
        <v>10</v>
      </c>
      <c r="H24" s="8">
        <v>2.62</v>
      </c>
      <c r="I24" s="12">
        <v>0</v>
      </c>
    </row>
    <row r="25" spans="2:9" ht="15" customHeight="1" x14ac:dyDescent="0.2">
      <c r="B25" t="s">
        <v>110</v>
      </c>
      <c r="C25" s="12">
        <v>62</v>
      </c>
      <c r="D25" s="8">
        <v>7.23</v>
      </c>
      <c r="E25" s="12">
        <v>52</v>
      </c>
      <c r="F25" s="8">
        <v>10.99</v>
      </c>
      <c r="G25" s="12">
        <v>10</v>
      </c>
      <c r="H25" s="8">
        <v>2.62</v>
      </c>
      <c r="I25" s="12">
        <v>0</v>
      </c>
    </row>
    <row r="26" spans="2:9" ht="15" customHeight="1" x14ac:dyDescent="0.2">
      <c r="B26" t="s">
        <v>107</v>
      </c>
      <c r="C26" s="12">
        <v>61</v>
      </c>
      <c r="D26" s="8">
        <v>7.11</v>
      </c>
      <c r="E26" s="12">
        <v>23</v>
      </c>
      <c r="F26" s="8">
        <v>4.8600000000000003</v>
      </c>
      <c r="G26" s="12">
        <v>38</v>
      </c>
      <c r="H26" s="8">
        <v>9.9700000000000006</v>
      </c>
      <c r="I26" s="12">
        <v>0</v>
      </c>
    </row>
    <row r="27" spans="2:9" ht="15" customHeight="1" x14ac:dyDescent="0.2">
      <c r="B27" t="s">
        <v>126</v>
      </c>
      <c r="C27" s="12">
        <v>52</v>
      </c>
      <c r="D27" s="8">
        <v>6.06</v>
      </c>
      <c r="E27" s="12">
        <v>19</v>
      </c>
      <c r="F27" s="8">
        <v>4.0199999999999996</v>
      </c>
      <c r="G27" s="12">
        <v>33</v>
      </c>
      <c r="H27" s="8">
        <v>8.66</v>
      </c>
      <c r="I27" s="12">
        <v>0</v>
      </c>
    </row>
    <row r="28" spans="2:9" ht="15" customHeight="1" x14ac:dyDescent="0.2">
      <c r="B28" t="s">
        <v>94</v>
      </c>
      <c r="C28" s="12">
        <v>51</v>
      </c>
      <c r="D28" s="8">
        <v>5.94</v>
      </c>
      <c r="E28" s="12">
        <v>19</v>
      </c>
      <c r="F28" s="8">
        <v>4.0199999999999996</v>
      </c>
      <c r="G28" s="12">
        <v>32</v>
      </c>
      <c r="H28" s="8">
        <v>8.4</v>
      </c>
      <c r="I28" s="12">
        <v>0</v>
      </c>
    </row>
    <row r="29" spans="2:9" ht="15" customHeight="1" x14ac:dyDescent="0.2">
      <c r="B29" t="s">
        <v>105</v>
      </c>
      <c r="C29" s="12">
        <v>49</v>
      </c>
      <c r="D29" s="8">
        <v>5.71</v>
      </c>
      <c r="E29" s="12">
        <v>30</v>
      </c>
      <c r="F29" s="8">
        <v>6.34</v>
      </c>
      <c r="G29" s="12">
        <v>19</v>
      </c>
      <c r="H29" s="8">
        <v>4.99</v>
      </c>
      <c r="I29" s="12">
        <v>0</v>
      </c>
    </row>
    <row r="30" spans="2:9" ht="15" customHeight="1" x14ac:dyDescent="0.2">
      <c r="B30" t="s">
        <v>112</v>
      </c>
      <c r="C30" s="12">
        <v>49</v>
      </c>
      <c r="D30" s="8">
        <v>5.71</v>
      </c>
      <c r="E30" s="12">
        <v>37</v>
      </c>
      <c r="F30" s="8">
        <v>7.82</v>
      </c>
      <c r="G30" s="12">
        <v>11</v>
      </c>
      <c r="H30" s="8">
        <v>2.89</v>
      </c>
      <c r="I30" s="12">
        <v>1</v>
      </c>
    </row>
    <row r="31" spans="2:9" ht="15" customHeight="1" x14ac:dyDescent="0.2">
      <c r="B31" t="s">
        <v>104</v>
      </c>
      <c r="C31" s="12">
        <v>38</v>
      </c>
      <c r="D31" s="8">
        <v>4.43</v>
      </c>
      <c r="E31" s="12">
        <v>26</v>
      </c>
      <c r="F31" s="8">
        <v>5.5</v>
      </c>
      <c r="G31" s="12">
        <v>12</v>
      </c>
      <c r="H31" s="8">
        <v>3.15</v>
      </c>
      <c r="I31" s="12">
        <v>0</v>
      </c>
    </row>
    <row r="32" spans="2:9" ht="15" customHeight="1" x14ac:dyDescent="0.2">
      <c r="B32" t="s">
        <v>96</v>
      </c>
      <c r="C32" s="12">
        <v>34</v>
      </c>
      <c r="D32" s="8">
        <v>3.96</v>
      </c>
      <c r="E32" s="12">
        <v>13</v>
      </c>
      <c r="F32" s="8">
        <v>2.75</v>
      </c>
      <c r="G32" s="12">
        <v>21</v>
      </c>
      <c r="H32" s="8">
        <v>5.51</v>
      </c>
      <c r="I32" s="12">
        <v>0</v>
      </c>
    </row>
    <row r="33" spans="2:9" ht="15" customHeight="1" x14ac:dyDescent="0.2">
      <c r="B33" t="s">
        <v>95</v>
      </c>
      <c r="C33" s="12">
        <v>33</v>
      </c>
      <c r="D33" s="8">
        <v>3.85</v>
      </c>
      <c r="E33" s="12">
        <v>15</v>
      </c>
      <c r="F33" s="8">
        <v>3.17</v>
      </c>
      <c r="G33" s="12">
        <v>18</v>
      </c>
      <c r="H33" s="8">
        <v>4.72</v>
      </c>
      <c r="I33" s="12">
        <v>0</v>
      </c>
    </row>
    <row r="34" spans="2:9" ht="15" customHeight="1" x14ac:dyDescent="0.2">
      <c r="B34" t="s">
        <v>103</v>
      </c>
      <c r="C34" s="12">
        <v>33</v>
      </c>
      <c r="D34" s="8">
        <v>3.85</v>
      </c>
      <c r="E34" s="12">
        <v>21</v>
      </c>
      <c r="F34" s="8">
        <v>4.4400000000000004</v>
      </c>
      <c r="G34" s="12">
        <v>11</v>
      </c>
      <c r="H34" s="8">
        <v>2.89</v>
      </c>
      <c r="I34" s="12">
        <v>1</v>
      </c>
    </row>
    <row r="35" spans="2:9" ht="15" customHeight="1" x14ac:dyDescent="0.2">
      <c r="B35" t="s">
        <v>113</v>
      </c>
      <c r="C35" s="12">
        <v>26</v>
      </c>
      <c r="D35" s="8">
        <v>3.03</v>
      </c>
      <c r="E35" s="12">
        <v>22</v>
      </c>
      <c r="F35" s="8">
        <v>4.6500000000000004</v>
      </c>
      <c r="G35" s="12">
        <v>4</v>
      </c>
      <c r="H35" s="8">
        <v>1.05</v>
      </c>
      <c r="I35" s="12">
        <v>0</v>
      </c>
    </row>
    <row r="36" spans="2:9" ht="15" customHeight="1" x14ac:dyDescent="0.2">
      <c r="B36" t="s">
        <v>98</v>
      </c>
      <c r="C36" s="12">
        <v>25</v>
      </c>
      <c r="D36" s="8">
        <v>2.91</v>
      </c>
      <c r="E36" s="12">
        <v>7</v>
      </c>
      <c r="F36" s="8">
        <v>1.48</v>
      </c>
      <c r="G36" s="12">
        <v>18</v>
      </c>
      <c r="H36" s="8">
        <v>4.72</v>
      </c>
      <c r="I36" s="12">
        <v>0</v>
      </c>
    </row>
    <row r="37" spans="2:9" ht="15" customHeight="1" x14ac:dyDescent="0.2">
      <c r="B37" t="s">
        <v>108</v>
      </c>
      <c r="C37" s="12">
        <v>21</v>
      </c>
      <c r="D37" s="8">
        <v>2.4500000000000002</v>
      </c>
      <c r="E37" s="12">
        <v>15</v>
      </c>
      <c r="F37" s="8">
        <v>3.17</v>
      </c>
      <c r="G37" s="12">
        <v>6</v>
      </c>
      <c r="H37" s="8">
        <v>1.57</v>
      </c>
      <c r="I37" s="12">
        <v>0</v>
      </c>
    </row>
    <row r="38" spans="2:9" ht="15" customHeight="1" x14ac:dyDescent="0.2">
      <c r="B38" t="s">
        <v>97</v>
      </c>
      <c r="C38" s="12">
        <v>19</v>
      </c>
      <c r="D38" s="8">
        <v>2.21</v>
      </c>
      <c r="E38" s="12">
        <v>10</v>
      </c>
      <c r="F38" s="8">
        <v>2.11</v>
      </c>
      <c r="G38" s="12">
        <v>9</v>
      </c>
      <c r="H38" s="8">
        <v>2.36</v>
      </c>
      <c r="I38" s="12">
        <v>0</v>
      </c>
    </row>
    <row r="39" spans="2:9" ht="15" customHeight="1" x14ac:dyDescent="0.2">
      <c r="B39" t="s">
        <v>99</v>
      </c>
      <c r="C39" s="12">
        <v>15</v>
      </c>
      <c r="D39" s="8">
        <v>1.75</v>
      </c>
      <c r="E39" s="12">
        <v>5</v>
      </c>
      <c r="F39" s="8">
        <v>1.06</v>
      </c>
      <c r="G39" s="12">
        <v>10</v>
      </c>
      <c r="H39" s="8">
        <v>2.62</v>
      </c>
      <c r="I39" s="12">
        <v>0</v>
      </c>
    </row>
    <row r="40" spans="2:9" ht="15" customHeight="1" x14ac:dyDescent="0.2">
      <c r="B40" t="s">
        <v>109</v>
      </c>
      <c r="C40" s="12">
        <v>15</v>
      </c>
      <c r="D40" s="8">
        <v>1.75</v>
      </c>
      <c r="E40" s="12">
        <v>11</v>
      </c>
      <c r="F40" s="8">
        <v>2.33</v>
      </c>
      <c r="G40" s="12">
        <v>4</v>
      </c>
      <c r="H40" s="8">
        <v>1.05</v>
      </c>
      <c r="I40" s="12">
        <v>0</v>
      </c>
    </row>
    <row r="41" spans="2:9" ht="15" customHeight="1" x14ac:dyDescent="0.2">
      <c r="B41" t="s">
        <v>124</v>
      </c>
      <c r="C41" s="12">
        <v>14</v>
      </c>
      <c r="D41" s="8">
        <v>1.63</v>
      </c>
      <c r="E41" s="12">
        <v>6</v>
      </c>
      <c r="F41" s="8">
        <v>1.27</v>
      </c>
      <c r="G41" s="12">
        <v>8</v>
      </c>
      <c r="H41" s="8">
        <v>2.1</v>
      </c>
      <c r="I41" s="12">
        <v>0</v>
      </c>
    </row>
    <row r="42" spans="2:9" ht="15" customHeight="1" x14ac:dyDescent="0.2">
      <c r="B42" t="s">
        <v>102</v>
      </c>
      <c r="C42" s="12">
        <v>14</v>
      </c>
      <c r="D42" s="8">
        <v>1.63</v>
      </c>
      <c r="E42" s="12">
        <v>10</v>
      </c>
      <c r="F42" s="8">
        <v>2.11</v>
      </c>
      <c r="G42" s="12">
        <v>4</v>
      </c>
      <c r="H42" s="8">
        <v>1.05</v>
      </c>
      <c r="I42" s="12">
        <v>0</v>
      </c>
    </row>
    <row r="43" spans="2:9" ht="15" customHeight="1" x14ac:dyDescent="0.2">
      <c r="B43" t="s">
        <v>129</v>
      </c>
      <c r="C43" s="12">
        <v>12</v>
      </c>
      <c r="D43" s="8">
        <v>1.4</v>
      </c>
      <c r="E43" s="12">
        <v>8</v>
      </c>
      <c r="F43" s="8">
        <v>1.69</v>
      </c>
      <c r="G43" s="12">
        <v>4</v>
      </c>
      <c r="H43" s="8">
        <v>1.05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45</v>
      </c>
      <c r="D47" s="8">
        <v>5.24</v>
      </c>
      <c r="E47" s="12">
        <v>43</v>
      </c>
      <c r="F47" s="8">
        <v>9.09</v>
      </c>
      <c r="G47" s="12">
        <v>2</v>
      </c>
      <c r="H47" s="8">
        <v>0.52</v>
      </c>
      <c r="I47" s="12">
        <v>0</v>
      </c>
    </row>
    <row r="48" spans="2:9" ht="15" customHeight="1" x14ac:dyDescent="0.2">
      <c r="B48" t="s">
        <v>221</v>
      </c>
      <c r="C48" s="12">
        <v>39</v>
      </c>
      <c r="D48" s="8">
        <v>4.55</v>
      </c>
      <c r="E48" s="12">
        <v>14</v>
      </c>
      <c r="F48" s="8">
        <v>2.96</v>
      </c>
      <c r="G48" s="12">
        <v>25</v>
      </c>
      <c r="H48" s="8">
        <v>6.56</v>
      </c>
      <c r="I48" s="12">
        <v>0</v>
      </c>
    </row>
    <row r="49" spans="2:9" ht="15" customHeight="1" x14ac:dyDescent="0.2">
      <c r="B49" t="s">
        <v>161</v>
      </c>
      <c r="C49" s="12">
        <v>38</v>
      </c>
      <c r="D49" s="8">
        <v>4.43</v>
      </c>
      <c r="E49" s="12">
        <v>22</v>
      </c>
      <c r="F49" s="8">
        <v>4.6500000000000004</v>
      </c>
      <c r="G49" s="12">
        <v>16</v>
      </c>
      <c r="H49" s="8">
        <v>4.2</v>
      </c>
      <c r="I49" s="12">
        <v>0</v>
      </c>
    </row>
    <row r="50" spans="2:9" ht="15" customHeight="1" x14ac:dyDescent="0.2">
      <c r="B50" t="s">
        <v>170</v>
      </c>
      <c r="C50" s="12">
        <v>34</v>
      </c>
      <c r="D50" s="8">
        <v>3.96</v>
      </c>
      <c r="E50" s="12">
        <v>29</v>
      </c>
      <c r="F50" s="8">
        <v>6.13</v>
      </c>
      <c r="G50" s="12">
        <v>5</v>
      </c>
      <c r="H50" s="8">
        <v>1.31</v>
      </c>
      <c r="I50" s="12">
        <v>0</v>
      </c>
    </row>
    <row r="51" spans="2:9" ht="15" customHeight="1" x14ac:dyDescent="0.2">
      <c r="B51" t="s">
        <v>156</v>
      </c>
      <c r="C51" s="12">
        <v>28</v>
      </c>
      <c r="D51" s="8">
        <v>3.26</v>
      </c>
      <c r="E51" s="12">
        <v>21</v>
      </c>
      <c r="F51" s="8">
        <v>4.4400000000000004</v>
      </c>
      <c r="G51" s="12">
        <v>7</v>
      </c>
      <c r="H51" s="8">
        <v>1.84</v>
      </c>
      <c r="I51" s="12">
        <v>0</v>
      </c>
    </row>
    <row r="52" spans="2:9" ht="15" customHeight="1" x14ac:dyDescent="0.2">
      <c r="B52" t="s">
        <v>167</v>
      </c>
      <c r="C52" s="12">
        <v>26</v>
      </c>
      <c r="D52" s="8">
        <v>3.03</v>
      </c>
      <c r="E52" s="12">
        <v>25</v>
      </c>
      <c r="F52" s="8">
        <v>5.29</v>
      </c>
      <c r="G52" s="12">
        <v>1</v>
      </c>
      <c r="H52" s="8">
        <v>0.26</v>
      </c>
      <c r="I52" s="12">
        <v>0</v>
      </c>
    </row>
    <row r="53" spans="2:9" ht="15" customHeight="1" x14ac:dyDescent="0.2">
      <c r="B53" t="s">
        <v>171</v>
      </c>
      <c r="C53" s="12">
        <v>23</v>
      </c>
      <c r="D53" s="8">
        <v>2.68</v>
      </c>
      <c r="E53" s="12">
        <v>20</v>
      </c>
      <c r="F53" s="8">
        <v>4.2300000000000004</v>
      </c>
      <c r="G53" s="12">
        <v>3</v>
      </c>
      <c r="H53" s="8">
        <v>0.79</v>
      </c>
      <c r="I53" s="12">
        <v>0</v>
      </c>
    </row>
    <row r="54" spans="2:9" ht="15" customHeight="1" x14ac:dyDescent="0.2">
      <c r="B54" t="s">
        <v>205</v>
      </c>
      <c r="C54" s="12">
        <v>21</v>
      </c>
      <c r="D54" s="8">
        <v>2.4500000000000002</v>
      </c>
      <c r="E54" s="12">
        <v>12</v>
      </c>
      <c r="F54" s="8">
        <v>2.54</v>
      </c>
      <c r="G54" s="12">
        <v>9</v>
      </c>
      <c r="H54" s="8">
        <v>2.36</v>
      </c>
      <c r="I54" s="12">
        <v>0</v>
      </c>
    </row>
    <row r="55" spans="2:9" ht="15" customHeight="1" x14ac:dyDescent="0.2">
      <c r="B55" t="s">
        <v>163</v>
      </c>
      <c r="C55" s="12">
        <v>20</v>
      </c>
      <c r="D55" s="8">
        <v>2.33</v>
      </c>
      <c r="E55" s="12">
        <v>15</v>
      </c>
      <c r="F55" s="8">
        <v>3.17</v>
      </c>
      <c r="G55" s="12">
        <v>5</v>
      </c>
      <c r="H55" s="8">
        <v>1.31</v>
      </c>
      <c r="I55" s="12">
        <v>0</v>
      </c>
    </row>
    <row r="56" spans="2:9" ht="15" customHeight="1" x14ac:dyDescent="0.2">
      <c r="B56" t="s">
        <v>154</v>
      </c>
      <c r="C56" s="12">
        <v>17</v>
      </c>
      <c r="D56" s="8">
        <v>1.98</v>
      </c>
      <c r="E56" s="12">
        <v>7</v>
      </c>
      <c r="F56" s="8">
        <v>1.48</v>
      </c>
      <c r="G56" s="12">
        <v>10</v>
      </c>
      <c r="H56" s="8">
        <v>2.62</v>
      </c>
      <c r="I56" s="12">
        <v>0</v>
      </c>
    </row>
    <row r="57" spans="2:9" ht="15" customHeight="1" x14ac:dyDescent="0.2">
      <c r="B57" t="s">
        <v>201</v>
      </c>
      <c r="C57" s="12">
        <v>15</v>
      </c>
      <c r="D57" s="8">
        <v>1.75</v>
      </c>
      <c r="E57" s="12">
        <v>3</v>
      </c>
      <c r="F57" s="8">
        <v>0.63</v>
      </c>
      <c r="G57" s="12">
        <v>12</v>
      </c>
      <c r="H57" s="8">
        <v>3.15</v>
      </c>
      <c r="I57" s="12">
        <v>0</v>
      </c>
    </row>
    <row r="58" spans="2:9" ht="15" customHeight="1" x14ac:dyDescent="0.2">
      <c r="B58" t="s">
        <v>160</v>
      </c>
      <c r="C58" s="12">
        <v>15</v>
      </c>
      <c r="D58" s="8">
        <v>1.75</v>
      </c>
      <c r="E58" s="12">
        <v>0</v>
      </c>
      <c r="F58" s="8">
        <v>0</v>
      </c>
      <c r="G58" s="12">
        <v>15</v>
      </c>
      <c r="H58" s="8">
        <v>3.94</v>
      </c>
      <c r="I58" s="12">
        <v>0</v>
      </c>
    </row>
    <row r="59" spans="2:9" ht="15" customHeight="1" x14ac:dyDescent="0.2">
      <c r="B59" t="s">
        <v>202</v>
      </c>
      <c r="C59" s="12">
        <v>13</v>
      </c>
      <c r="D59" s="8">
        <v>1.52</v>
      </c>
      <c r="E59" s="12">
        <v>6</v>
      </c>
      <c r="F59" s="8">
        <v>1.27</v>
      </c>
      <c r="G59" s="12">
        <v>7</v>
      </c>
      <c r="H59" s="8">
        <v>1.84</v>
      </c>
      <c r="I59" s="12">
        <v>0</v>
      </c>
    </row>
    <row r="60" spans="2:9" ht="15" customHeight="1" x14ac:dyDescent="0.2">
      <c r="B60" t="s">
        <v>164</v>
      </c>
      <c r="C60" s="12">
        <v>13</v>
      </c>
      <c r="D60" s="8">
        <v>1.52</v>
      </c>
      <c r="E60" s="12">
        <v>12</v>
      </c>
      <c r="F60" s="8">
        <v>2.54</v>
      </c>
      <c r="G60" s="12">
        <v>1</v>
      </c>
      <c r="H60" s="8">
        <v>0.26</v>
      </c>
      <c r="I60" s="12">
        <v>0</v>
      </c>
    </row>
    <row r="61" spans="2:9" ht="15" customHeight="1" x14ac:dyDescent="0.2">
      <c r="B61" t="s">
        <v>166</v>
      </c>
      <c r="C61" s="12">
        <v>13</v>
      </c>
      <c r="D61" s="8">
        <v>1.52</v>
      </c>
      <c r="E61" s="12">
        <v>9</v>
      </c>
      <c r="F61" s="8">
        <v>1.9</v>
      </c>
      <c r="G61" s="12">
        <v>4</v>
      </c>
      <c r="H61" s="8">
        <v>1.05</v>
      </c>
      <c r="I61" s="12">
        <v>0</v>
      </c>
    </row>
    <row r="62" spans="2:9" ht="15" customHeight="1" x14ac:dyDescent="0.2">
      <c r="B62" t="s">
        <v>152</v>
      </c>
      <c r="C62" s="12">
        <v>12</v>
      </c>
      <c r="D62" s="8">
        <v>1.4</v>
      </c>
      <c r="E62" s="12">
        <v>2</v>
      </c>
      <c r="F62" s="8">
        <v>0.42</v>
      </c>
      <c r="G62" s="12">
        <v>10</v>
      </c>
      <c r="H62" s="8">
        <v>2.62</v>
      </c>
      <c r="I62" s="12">
        <v>0</v>
      </c>
    </row>
    <row r="63" spans="2:9" ht="15" customHeight="1" x14ac:dyDescent="0.2">
      <c r="B63" t="s">
        <v>155</v>
      </c>
      <c r="C63" s="12">
        <v>12</v>
      </c>
      <c r="D63" s="8">
        <v>1.4</v>
      </c>
      <c r="E63" s="12">
        <v>4</v>
      </c>
      <c r="F63" s="8">
        <v>0.85</v>
      </c>
      <c r="G63" s="12">
        <v>8</v>
      </c>
      <c r="H63" s="8">
        <v>2.1</v>
      </c>
      <c r="I63" s="12">
        <v>0</v>
      </c>
    </row>
    <row r="64" spans="2:9" ht="15" customHeight="1" x14ac:dyDescent="0.2">
      <c r="B64" t="s">
        <v>157</v>
      </c>
      <c r="C64" s="12">
        <v>12</v>
      </c>
      <c r="D64" s="8">
        <v>1.4</v>
      </c>
      <c r="E64" s="12">
        <v>8</v>
      </c>
      <c r="F64" s="8">
        <v>1.69</v>
      </c>
      <c r="G64" s="12">
        <v>4</v>
      </c>
      <c r="H64" s="8">
        <v>1.05</v>
      </c>
      <c r="I64" s="12">
        <v>0</v>
      </c>
    </row>
    <row r="65" spans="2:9" ht="15" customHeight="1" x14ac:dyDescent="0.2">
      <c r="B65" t="s">
        <v>158</v>
      </c>
      <c r="C65" s="12">
        <v>12</v>
      </c>
      <c r="D65" s="8">
        <v>1.4</v>
      </c>
      <c r="E65" s="12">
        <v>8</v>
      </c>
      <c r="F65" s="8">
        <v>1.69</v>
      </c>
      <c r="G65" s="12">
        <v>4</v>
      </c>
      <c r="H65" s="8">
        <v>1.05</v>
      </c>
      <c r="I65" s="12">
        <v>0</v>
      </c>
    </row>
    <row r="66" spans="2:9" ht="15" customHeight="1" x14ac:dyDescent="0.2">
      <c r="B66" t="s">
        <v>165</v>
      </c>
      <c r="C66" s="12">
        <v>12</v>
      </c>
      <c r="D66" s="8">
        <v>1.4</v>
      </c>
      <c r="E66" s="12">
        <v>12</v>
      </c>
      <c r="F66" s="8">
        <v>2.54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9D66C-C07E-4773-AF17-2EBA0EEF7B5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324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85</v>
      </c>
      <c r="D6" s="8">
        <v>9.84</v>
      </c>
      <c r="E6" s="12">
        <v>15</v>
      </c>
      <c r="F6" s="8">
        <v>3.35</v>
      </c>
      <c r="G6" s="12">
        <v>70</v>
      </c>
      <c r="H6" s="8">
        <v>16.91</v>
      </c>
      <c r="I6" s="12">
        <v>0</v>
      </c>
    </row>
    <row r="7" spans="2:9" ht="15" customHeight="1" x14ac:dyDescent="0.2">
      <c r="B7" t="s">
        <v>73</v>
      </c>
      <c r="C7" s="12">
        <v>87</v>
      </c>
      <c r="D7" s="8">
        <v>10.07</v>
      </c>
      <c r="E7" s="12">
        <v>24</v>
      </c>
      <c r="F7" s="8">
        <v>5.36</v>
      </c>
      <c r="G7" s="12">
        <v>63</v>
      </c>
      <c r="H7" s="8">
        <v>15.22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0.35</v>
      </c>
      <c r="E8" s="12">
        <v>0</v>
      </c>
      <c r="F8" s="8">
        <v>0</v>
      </c>
      <c r="G8" s="12">
        <v>3</v>
      </c>
      <c r="H8" s="8">
        <v>0.72</v>
      </c>
      <c r="I8" s="12">
        <v>0</v>
      </c>
    </row>
    <row r="9" spans="2:9" ht="15" customHeight="1" x14ac:dyDescent="0.2">
      <c r="B9" t="s">
        <v>75</v>
      </c>
      <c r="C9" s="12">
        <v>6</v>
      </c>
      <c r="D9" s="8">
        <v>0.69</v>
      </c>
      <c r="E9" s="12">
        <v>0</v>
      </c>
      <c r="F9" s="8">
        <v>0</v>
      </c>
      <c r="G9" s="12">
        <v>6</v>
      </c>
      <c r="H9" s="8">
        <v>1.45</v>
      </c>
      <c r="I9" s="12">
        <v>0</v>
      </c>
    </row>
    <row r="10" spans="2:9" ht="15" customHeight="1" x14ac:dyDescent="0.2">
      <c r="B10" t="s">
        <v>76</v>
      </c>
      <c r="C10" s="12">
        <v>8</v>
      </c>
      <c r="D10" s="8">
        <v>0.93</v>
      </c>
      <c r="E10" s="12">
        <v>1</v>
      </c>
      <c r="F10" s="8">
        <v>0.22</v>
      </c>
      <c r="G10" s="12">
        <v>7</v>
      </c>
      <c r="H10" s="8">
        <v>1.69</v>
      </c>
      <c r="I10" s="12">
        <v>0</v>
      </c>
    </row>
    <row r="11" spans="2:9" ht="15" customHeight="1" x14ac:dyDescent="0.2">
      <c r="B11" t="s">
        <v>77</v>
      </c>
      <c r="C11" s="12">
        <v>164</v>
      </c>
      <c r="D11" s="8">
        <v>18.98</v>
      </c>
      <c r="E11" s="12">
        <v>69</v>
      </c>
      <c r="F11" s="8">
        <v>15.4</v>
      </c>
      <c r="G11" s="12">
        <v>95</v>
      </c>
      <c r="H11" s="8">
        <v>22.95</v>
      </c>
      <c r="I11" s="12">
        <v>0</v>
      </c>
    </row>
    <row r="12" spans="2:9" ht="15" customHeight="1" x14ac:dyDescent="0.2">
      <c r="B12" t="s">
        <v>78</v>
      </c>
      <c r="C12" s="12">
        <v>4</v>
      </c>
      <c r="D12" s="8">
        <v>0.46</v>
      </c>
      <c r="E12" s="12">
        <v>1</v>
      </c>
      <c r="F12" s="8">
        <v>0.22</v>
      </c>
      <c r="G12" s="12">
        <v>3</v>
      </c>
      <c r="H12" s="8">
        <v>0.72</v>
      </c>
      <c r="I12" s="12">
        <v>0</v>
      </c>
    </row>
    <row r="13" spans="2:9" ht="15" customHeight="1" x14ac:dyDescent="0.2">
      <c r="B13" t="s">
        <v>79</v>
      </c>
      <c r="C13" s="12">
        <v>147</v>
      </c>
      <c r="D13" s="8">
        <v>17.010000000000002</v>
      </c>
      <c r="E13" s="12">
        <v>74</v>
      </c>
      <c r="F13" s="8">
        <v>16.52</v>
      </c>
      <c r="G13" s="12">
        <v>73</v>
      </c>
      <c r="H13" s="8">
        <v>17.63</v>
      </c>
      <c r="I13" s="12">
        <v>0</v>
      </c>
    </row>
    <row r="14" spans="2:9" ht="15" customHeight="1" x14ac:dyDescent="0.2">
      <c r="B14" t="s">
        <v>80</v>
      </c>
      <c r="C14" s="12">
        <v>30</v>
      </c>
      <c r="D14" s="8">
        <v>3.47</v>
      </c>
      <c r="E14" s="12">
        <v>18</v>
      </c>
      <c r="F14" s="8">
        <v>4.0199999999999996</v>
      </c>
      <c r="G14" s="12">
        <v>12</v>
      </c>
      <c r="H14" s="8">
        <v>2.9</v>
      </c>
      <c r="I14" s="12">
        <v>0</v>
      </c>
    </row>
    <row r="15" spans="2:9" ht="15" customHeight="1" x14ac:dyDescent="0.2">
      <c r="B15" t="s">
        <v>81</v>
      </c>
      <c r="C15" s="12">
        <v>109</v>
      </c>
      <c r="D15" s="8">
        <v>12.62</v>
      </c>
      <c r="E15" s="12">
        <v>96</v>
      </c>
      <c r="F15" s="8">
        <v>21.43</v>
      </c>
      <c r="G15" s="12">
        <v>12</v>
      </c>
      <c r="H15" s="8">
        <v>2.9</v>
      </c>
      <c r="I15" s="12">
        <v>0</v>
      </c>
    </row>
    <row r="16" spans="2:9" ht="15" customHeight="1" x14ac:dyDescent="0.2">
      <c r="B16" t="s">
        <v>82</v>
      </c>
      <c r="C16" s="12">
        <v>94</v>
      </c>
      <c r="D16" s="8">
        <v>10.88</v>
      </c>
      <c r="E16" s="12">
        <v>68</v>
      </c>
      <c r="F16" s="8">
        <v>15.18</v>
      </c>
      <c r="G16" s="12">
        <v>26</v>
      </c>
      <c r="H16" s="8">
        <v>6.28</v>
      </c>
      <c r="I16" s="12">
        <v>0</v>
      </c>
    </row>
    <row r="17" spans="2:9" ht="15" customHeight="1" x14ac:dyDescent="0.2">
      <c r="B17" t="s">
        <v>83</v>
      </c>
      <c r="C17" s="12">
        <v>64</v>
      </c>
      <c r="D17" s="8">
        <v>7.41</v>
      </c>
      <c r="E17" s="12">
        <v>48</v>
      </c>
      <c r="F17" s="8">
        <v>10.71</v>
      </c>
      <c r="G17" s="12">
        <v>16</v>
      </c>
      <c r="H17" s="8">
        <v>3.86</v>
      </c>
      <c r="I17" s="12">
        <v>0</v>
      </c>
    </row>
    <row r="18" spans="2:9" ht="15" customHeight="1" x14ac:dyDescent="0.2">
      <c r="B18" t="s">
        <v>84</v>
      </c>
      <c r="C18" s="12">
        <v>44</v>
      </c>
      <c r="D18" s="8">
        <v>5.09</v>
      </c>
      <c r="E18" s="12">
        <v>29</v>
      </c>
      <c r="F18" s="8">
        <v>6.47</v>
      </c>
      <c r="G18" s="12">
        <v>14</v>
      </c>
      <c r="H18" s="8">
        <v>3.38</v>
      </c>
      <c r="I18" s="12">
        <v>0</v>
      </c>
    </row>
    <row r="19" spans="2:9" ht="15" customHeight="1" x14ac:dyDescent="0.2">
      <c r="B19" t="s">
        <v>85</v>
      </c>
      <c r="C19" s="12">
        <v>19</v>
      </c>
      <c r="D19" s="8">
        <v>2.2000000000000002</v>
      </c>
      <c r="E19" s="12">
        <v>5</v>
      </c>
      <c r="F19" s="8">
        <v>1.1200000000000001</v>
      </c>
      <c r="G19" s="12">
        <v>14</v>
      </c>
      <c r="H19" s="8">
        <v>3.38</v>
      </c>
      <c r="I19" s="12">
        <v>0</v>
      </c>
    </row>
    <row r="20" spans="2:9" ht="15" customHeight="1" x14ac:dyDescent="0.2">
      <c r="B20" s="9" t="s">
        <v>277</v>
      </c>
      <c r="C20" s="12">
        <f>SUM(LTBL_23228[総数／事業所数])</f>
        <v>864</v>
      </c>
      <c r="E20" s="12">
        <f>SUBTOTAL(109,LTBL_23228[個人／事業所数])</f>
        <v>448</v>
      </c>
      <c r="G20" s="12">
        <f>SUBTOTAL(109,LTBL_23228[法人／事業所数])</f>
        <v>414</v>
      </c>
      <c r="I20" s="12">
        <f>SUBTOTAL(109,LTBL_23228[法人以外の団体／事業所数])</f>
        <v>0</v>
      </c>
    </row>
    <row r="21" spans="2:9" ht="15" customHeight="1" x14ac:dyDescent="0.2">
      <c r="E21" s="11">
        <f>LTBL_23228[[#Totals],[個人／事業所数]]/LTBL_23228[[#Totals],[総数／事業所数]]</f>
        <v>0.51851851851851849</v>
      </c>
      <c r="G21" s="11">
        <f>LTBL_23228[[#Totals],[法人／事業所数]]/LTBL_23228[[#Totals],[総数／事業所数]]</f>
        <v>0.47916666666666669</v>
      </c>
      <c r="I21" s="11">
        <f>LTBL_23228[[#Totals],[法人以外の団体／事業所数]]/LTBL_23228[[#Totals],[総数／事業所数]]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135</v>
      </c>
      <c r="D24" s="8">
        <v>15.63</v>
      </c>
      <c r="E24" s="12">
        <v>73</v>
      </c>
      <c r="F24" s="8">
        <v>16.29</v>
      </c>
      <c r="G24" s="12">
        <v>62</v>
      </c>
      <c r="H24" s="8">
        <v>14.98</v>
      </c>
      <c r="I24" s="12">
        <v>0</v>
      </c>
    </row>
    <row r="25" spans="2:9" ht="15" customHeight="1" x14ac:dyDescent="0.2">
      <c r="B25" t="s">
        <v>110</v>
      </c>
      <c r="C25" s="12">
        <v>102</v>
      </c>
      <c r="D25" s="8">
        <v>11.81</v>
      </c>
      <c r="E25" s="12">
        <v>93</v>
      </c>
      <c r="F25" s="8">
        <v>20.76</v>
      </c>
      <c r="G25" s="12">
        <v>9</v>
      </c>
      <c r="H25" s="8">
        <v>2.17</v>
      </c>
      <c r="I25" s="12">
        <v>0</v>
      </c>
    </row>
    <row r="26" spans="2:9" ht="15" customHeight="1" x14ac:dyDescent="0.2">
      <c r="B26" t="s">
        <v>111</v>
      </c>
      <c r="C26" s="12">
        <v>78</v>
      </c>
      <c r="D26" s="8">
        <v>9.0299999999999994</v>
      </c>
      <c r="E26" s="12">
        <v>61</v>
      </c>
      <c r="F26" s="8">
        <v>13.62</v>
      </c>
      <c r="G26" s="12">
        <v>17</v>
      </c>
      <c r="H26" s="8">
        <v>4.1100000000000003</v>
      </c>
      <c r="I26" s="12">
        <v>0</v>
      </c>
    </row>
    <row r="27" spans="2:9" ht="15" customHeight="1" x14ac:dyDescent="0.2">
      <c r="B27" t="s">
        <v>112</v>
      </c>
      <c r="C27" s="12">
        <v>64</v>
      </c>
      <c r="D27" s="8">
        <v>7.41</v>
      </c>
      <c r="E27" s="12">
        <v>48</v>
      </c>
      <c r="F27" s="8">
        <v>10.71</v>
      </c>
      <c r="G27" s="12">
        <v>16</v>
      </c>
      <c r="H27" s="8">
        <v>3.86</v>
      </c>
      <c r="I27" s="12">
        <v>0</v>
      </c>
    </row>
    <row r="28" spans="2:9" ht="15" customHeight="1" x14ac:dyDescent="0.2">
      <c r="B28" t="s">
        <v>105</v>
      </c>
      <c r="C28" s="12">
        <v>39</v>
      </c>
      <c r="D28" s="8">
        <v>4.51</v>
      </c>
      <c r="E28" s="12">
        <v>18</v>
      </c>
      <c r="F28" s="8">
        <v>4.0199999999999996</v>
      </c>
      <c r="G28" s="12">
        <v>21</v>
      </c>
      <c r="H28" s="8">
        <v>5.07</v>
      </c>
      <c r="I28" s="12">
        <v>0</v>
      </c>
    </row>
    <row r="29" spans="2:9" ht="15" customHeight="1" x14ac:dyDescent="0.2">
      <c r="B29" t="s">
        <v>113</v>
      </c>
      <c r="C29" s="12">
        <v>36</v>
      </c>
      <c r="D29" s="8">
        <v>4.17</v>
      </c>
      <c r="E29" s="12">
        <v>29</v>
      </c>
      <c r="F29" s="8">
        <v>6.47</v>
      </c>
      <c r="G29" s="12">
        <v>7</v>
      </c>
      <c r="H29" s="8">
        <v>1.69</v>
      </c>
      <c r="I29" s="12">
        <v>0</v>
      </c>
    </row>
    <row r="30" spans="2:9" ht="15" customHeight="1" x14ac:dyDescent="0.2">
      <c r="B30" t="s">
        <v>94</v>
      </c>
      <c r="C30" s="12">
        <v>35</v>
      </c>
      <c r="D30" s="8">
        <v>4.05</v>
      </c>
      <c r="E30" s="12">
        <v>4</v>
      </c>
      <c r="F30" s="8">
        <v>0.89</v>
      </c>
      <c r="G30" s="12">
        <v>31</v>
      </c>
      <c r="H30" s="8">
        <v>7.49</v>
      </c>
      <c r="I30" s="12">
        <v>0</v>
      </c>
    </row>
    <row r="31" spans="2:9" ht="15" customHeight="1" x14ac:dyDescent="0.2">
      <c r="B31" t="s">
        <v>95</v>
      </c>
      <c r="C31" s="12">
        <v>33</v>
      </c>
      <c r="D31" s="8">
        <v>3.82</v>
      </c>
      <c r="E31" s="12">
        <v>11</v>
      </c>
      <c r="F31" s="8">
        <v>2.46</v>
      </c>
      <c r="G31" s="12">
        <v>22</v>
      </c>
      <c r="H31" s="8">
        <v>5.31</v>
      </c>
      <c r="I31" s="12">
        <v>0</v>
      </c>
    </row>
    <row r="32" spans="2:9" ht="15" customHeight="1" x14ac:dyDescent="0.2">
      <c r="B32" t="s">
        <v>103</v>
      </c>
      <c r="C32" s="12">
        <v>32</v>
      </c>
      <c r="D32" s="8">
        <v>3.7</v>
      </c>
      <c r="E32" s="12">
        <v>20</v>
      </c>
      <c r="F32" s="8">
        <v>4.46</v>
      </c>
      <c r="G32" s="12">
        <v>12</v>
      </c>
      <c r="H32" s="8">
        <v>2.9</v>
      </c>
      <c r="I32" s="12">
        <v>0</v>
      </c>
    </row>
    <row r="33" spans="2:9" ht="15" customHeight="1" x14ac:dyDescent="0.2">
      <c r="B33" t="s">
        <v>104</v>
      </c>
      <c r="C33" s="12">
        <v>24</v>
      </c>
      <c r="D33" s="8">
        <v>2.78</v>
      </c>
      <c r="E33" s="12">
        <v>15</v>
      </c>
      <c r="F33" s="8">
        <v>3.35</v>
      </c>
      <c r="G33" s="12">
        <v>9</v>
      </c>
      <c r="H33" s="8">
        <v>2.17</v>
      </c>
      <c r="I33" s="12">
        <v>0</v>
      </c>
    </row>
    <row r="34" spans="2:9" ht="15" customHeight="1" x14ac:dyDescent="0.2">
      <c r="B34" t="s">
        <v>96</v>
      </c>
      <c r="C34" s="12">
        <v>17</v>
      </c>
      <c r="D34" s="8">
        <v>1.97</v>
      </c>
      <c r="E34" s="12">
        <v>0</v>
      </c>
      <c r="F34" s="8">
        <v>0</v>
      </c>
      <c r="G34" s="12">
        <v>17</v>
      </c>
      <c r="H34" s="8">
        <v>4.1100000000000003</v>
      </c>
      <c r="I34" s="12">
        <v>0</v>
      </c>
    </row>
    <row r="35" spans="2:9" ht="15" customHeight="1" x14ac:dyDescent="0.2">
      <c r="B35" t="s">
        <v>108</v>
      </c>
      <c r="C35" s="12">
        <v>17</v>
      </c>
      <c r="D35" s="8">
        <v>1.97</v>
      </c>
      <c r="E35" s="12">
        <v>11</v>
      </c>
      <c r="F35" s="8">
        <v>2.46</v>
      </c>
      <c r="G35" s="12">
        <v>6</v>
      </c>
      <c r="H35" s="8">
        <v>1.45</v>
      </c>
      <c r="I35" s="12">
        <v>0</v>
      </c>
    </row>
    <row r="36" spans="2:9" ht="15" customHeight="1" x14ac:dyDescent="0.2">
      <c r="B36" t="s">
        <v>102</v>
      </c>
      <c r="C36" s="12">
        <v>15</v>
      </c>
      <c r="D36" s="8">
        <v>1.74</v>
      </c>
      <c r="E36" s="12">
        <v>8</v>
      </c>
      <c r="F36" s="8">
        <v>1.79</v>
      </c>
      <c r="G36" s="12">
        <v>7</v>
      </c>
      <c r="H36" s="8">
        <v>1.69</v>
      </c>
      <c r="I36" s="12">
        <v>0</v>
      </c>
    </row>
    <row r="37" spans="2:9" ht="15" customHeight="1" x14ac:dyDescent="0.2">
      <c r="B37" t="s">
        <v>100</v>
      </c>
      <c r="C37" s="12">
        <v>14</v>
      </c>
      <c r="D37" s="8">
        <v>1.62</v>
      </c>
      <c r="E37" s="12">
        <v>2</v>
      </c>
      <c r="F37" s="8">
        <v>0.45</v>
      </c>
      <c r="G37" s="12">
        <v>12</v>
      </c>
      <c r="H37" s="8">
        <v>2.9</v>
      </c>
      <c r="I37" s="12">
        <v>0</v>
      </c>
    </row>
    <row r="38" spans="2:9" ht="15" customHeight="1" x14ac:dyDescent="0.2">
      <c r="B38" t="s">
        <v>115</v>
      </c>
      <c r="C38" s="12">
        <v>13</v>
      </c>
      <c r="D38" s="8">
        <v>1.5</v>
      </c>
      <c r="E38" s="12">
        <v>5</v>
      </c>
      <c r="F38" s="8">
        <v>1.1200000000000001</v>
      </c>
      <c r="G38" s="12">
        <v>8</v>
      </c>
      <c r="H38" s="8">
        <v>1.93</v>
      </c>
      <c r="I38" s="12">
        <v>0</v>
      </c>
    </row>
    <row r="39" spans="2:9" ht="15" customHeight="1" x14ac:dyDescent="0.2">
      <c r="B39" t="s">
        <v>98</v>
      </c>
      <c r="C39" s="12">
        <v>12</v>
      </c>
      <c r="D39" s="8">
        <v>1.39</v>
      </c>
      <c r="E39" s="12">
        <v>2</v>
      </c>
      <c r="F39" s="8">
        <v>0.45</v>
      </c>
      <c r="G39" s="12">
        <v>10</v>
      </c>
      <c r="H39" s="8">
        <v>2.42</v>
      </c>
      <c r="I39" s="12">
        <v>0</v>
      </c>
    </row>
    <row r="40" spans="2:9" ht="15" customHeight="1" x14ac:dyDescent="0.2">
      <c r="B40" t="s">
        <v>101</v>
      </c>
      <c r="C40" s="12">
        <v>12</v>
      </c>
      <c r="D40" s="8">
        <v>1.39</v>
      </c>
      <c r="E40" s="12">
        <v>1</v>
      </c>
      <c r="F40" s="8">
        <v>0.22</v>
      </c>
      <c r="G40" s="12">
        <v>11</v>
      </c>
      <c r="H40" s="8">
        <v>2.66</v>
      </c>
      <c r="I40" s="12">
        <v>0</v>
      </c>
    </row>
    <row r="41" spans="2:9" ht="15" customHeight="1" x14ac:dyDescent="0.2">
      <c r="B41" t="s">
        <v>109</v>
      </c>
      <c r="C41" s="12">
        <v>12</v>
      </c>
      <c r="D41" s="8">
        <v>1.39</v>
      </c>
      <c r="E41" s="12">
        <v>7</v>
      </c>
      <c r="F41" s="8">
        <v>1.56</v>
      </c>
      <c r="G41" s="12">
        <v>5</v>
      </c>
      <c r="H41" s="8">
        <v>1.21</v>
      </c>
      <c r="I41" s="12">
        <v>0</v>
      </c>
    </row>
    <row r="42" spans="2:9" ht="15" customHeight="1" x14ac:dyDescent="0.2">
      <c r="B42" t="s">
        <v>125</v>
      </c>
      <c r="C42" s="12">
        <v>11</v>
      </c>
      <c r="D42" s="8">
        <v>1.27</v>
      </c>
      <c r="E42" s="12">
        <v>5</v>
      </c>
      <c r="F42" s="8">
        <v>1.1200000000000001</v>
      </c>
      <c r="G42" s="12">
        <v>6</v>
      </c>
      <c r="H42" s="8">
        <v>1.45</v>
      </c>
      <c r="I42" s="12">
        <v>0</v>
      </c>
    </row>
    <row r="43" spans="2:9" ht="15" customHeight="1" x14ac:dyDescent="0.2">
      <c r="B43" t="s">
        <v>106</v>
      </c>
      <c r="C43" s="12">
        <v>11</v>
      </c>
      <c r="D43" s="8">
        <v>1.27</v>
      </c>
      <c r="E43" s="12">
        <v>1</v>
      </c>
      <c r="F43" s="8">
        <v>0.22</v>
      </c>
      <c r="G43" s="12">
        <v>10</v>
      </c>
      <c r="H43" s="8">
        <v>2.42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96</v>
      </c>
      <c r="D47" s="8">
        <v>11.11</v>
      </c>
      <c r="E47" s="12">
        <v>63</v>
      </c>
      <c r="F47" s="8">
        <v>14.06</v>
      </c>
      <c r="G47" s="12">
        <v>33</v>
      </c>
      <c r="H47" s="8">
        <v>7.97</v>
      </c>
      <c r="I47" s="12">
        <v>0</v>
      </c>
    </row>
    <row r="48" spans="2:9" ht="15" customHeight="1" x14ac:dyDescent="0.2">
      <c r="B48" t="s">
        <v>170</v>
      </c>
      <c r="C48" s="12">
        <v>45</v>
      </c>
      <c r="D48" s="8">
        <v>5.21</v>
      </c>
      <c r="E48" s="12">
        <v>34</v>
      </c>
      <c r="F48" s="8">
        <v>7.59</v>
      </c>
      <c r="G48" s="12">
        <v>11</v>
      </c>
      <c r="H48" s="8">
        <v>2.66</v>
      </c>
      <c r="I48" s="12">
        <v>0</v>
      </c>
    </row>
    <row r="49" spans="2:9" ht="15" customHeight="1" x14ac:dyDescent="0.2">
      <c r="B49" t="s">
        <v>168</v>
      </c>
      <c r="C49" s="12">
        <v>35</v>
      </c>
      <c r="D49" s="8">
        <v>4.05</v>
      </c>
      <c r="E49" s="12">
        <v>31</v>
      </c>
      <c r="F49" s="8">
        <v>6.92</v>
      </c>
      <c r="G49" s="12">
        <v>4</v>
      </c>
      <c r="H49" s="8">
        <v>0.97</v>
      </c>
      <c r="I49" s="12">
        <v>0</v>
      </c>
    </row>
    <row r="50" spans="2:9" ht="15" customHeight="1" x14ac:dyDescent="0.2">
      <c r="B50" t="s">
        <v>165</v>
      </c>
      <c r="C50" s="12">
        <v>34</v>
      </c>
      <c r="D50" s="8">
        <v>3.94</v>
      </c>
      <c r="E50" s="12">
        <v>33</v>
      </c>
      <c r="F50" s="8">
        <v>7.37</v>
      </c>
      <c r="G50" s="12">
        <v>1</v>
      </c>
      <c r="H50" s="8">
        <v>0.24</v>
      </c>
      <c r="I50" s="12">
        <v>0</v>
      </c>
    </row>
    <row r="51" spans="2:9" ht="15" customHeight="1" x14ac:dyDescent="0.2">
      <c r="B51" t="s">
        <v>164</v>
      </c>
      <c r="C51" s="12">
        <v>31</v>
      </c>
      <c r="D51" s="8">
        <v>3.59</v>
      </c>
      <c r="E51" s="12">
        <v>30</v>
      </c>
      <c r="F51" s="8">
        <v>6.7</v>
      </c>
      <c r="G51" s="12">
        <v>1</v>
      </c>
      <c r="H51" s="8">
        <v>0.24</v>
      </c>
      <c r="I51" s="12">
        <v>0</v>
      </c>
    </row>
    <row r="52" spans="2:9" ht="15" customHeight="1" x14ac:dyDescent="0.2">
      <c r="B52" t="s">
        <v>171</v>
      </c>
      <c r="C52" s="12">
        <v>28</v>
      </c>
      <c r="D52" s="8">
        <v>3.24</v>
      </c>
      <c r="E52" s="12">
        <v>23</v>
      </c>
      <c r="F52" s="8">
        <v>5.13</v>
      </c>
      <c r="G52" s="12">
        <v>5</v>
      </c>
      <c r="H52" s="8">
        <v>1.21</v>
      </c>
      <c r="I52" s="12">
        <v>0</v>
      </c>
    </row>
    <row r="53" spans="2:9" ht="15" customHeight="1" x14ac:dyDescent="0.2">
      <c r="B53" t="s">
        <v>167</v>
      </c>
      <c r="C53" s="12">
        <v>24</v>
      </c>
      <c r="D53" s="8">
        <v>2.78</v>
      </c>
      <c r="E53" s="12">
        <v>20</v>
      </c>
      <c r="F53" s="8">
        <v>4.46</v>
      </c>
      <c r="G53" s="12">
        <v>4</v>
      </c>
      <c r="H53" s="8">
        <v>0.97</v>
      </c>
      <c r="I53" s="12">
        <v>0</v>
      </c>
    </row>
    <row r="54" spans="2:9" ht="15" customHeight="1" x14ac:dyDescent="0.2">
      <c r="B54" t="s">
        <v>163</v>
      </c>
      <c r="C54" s="12">
        <v>19</v>
      </c>
      <c r="D54" s="8">
        <v>2.2000000000000002</v>
      </c>
      <c r="E54" s="12">
        <v>14</v>
      </c>
      <c r="F54" s="8">
        <v>3.13</v>
      </c>
      <c r="G54" s="12">
        <v>5</v>
      </c>
      <c r="H54" s="8">
        <v>1.21</v>
      </c>
      <c r="I54" s="12">
        <v>0</v>
      </c>
    </row>
    <row r="55" spans="2:9" ht="15" customHeight="1" x14ac:dyDescent="0.2">
      <c r="B55" t="s">
        <v>160</v>
      </c>
      <c r="C55" s="12">
        <v>17</v>
      </c>
      <c r="D55" s="8">
        <v>1.97</v>
      </c>
      <c r="E55" s="12">
        <v>2</v>
      </c>
      <c r="F55" s="8">
        <v>0.45</v>
      </c>
      <c r="G55" s="12">
        <v>15</v>
      </c>
      <c r="H55" s="8">
        <v>3.62</v>
      </c>
      <c r="I55" s="12">
        <v>0</v>
      </c>
    </row>
    <row r="56" spans="2:9" ht="15" customHeight="1" x14ac:dyDescent="0.2">
      <c r="B56" t="s">
        <v>186</v>
      </c>
      <c r="C56" s="12">
        <v>16</v>
      </c>
      <c r="D56" s="8">
        <v>1.85</v>
      </c>
      <c r="E56" s="12">
        <v>9</v>
      </c>
      <c r="F56" s="8">
        <v>2.0099999999999998</v>
      </c>
      <c r="G56" s="12">
        <v>7</v>
      </c>
      <c r="H56" s="8">
        <v>1.69</v>
      </c>
      <c r="I56" s="12">
        <v>0</v>
      </c>
    </row>
    <row r="57" spans="2:9" ht="15" customHeight="1" x14ac:dyDescent="0.2">
      <c r="B57" t="s">
        <v>158</v>
      </c>
      <c r="C57" s="12">
        <v>16</v>
      </c>
      <c r="D57" s="8">
        <v>1.85</v>
      </c>
      <c r="E57" s="12">
        <v>10</v>
      </c>
      <c r="F57" s="8">
        <v>2.23</v>
      </c>
      <c r="G57" s="12">
        <v>6</v>
      </c>
      <c r="H57" s="8">
        <v>1.45</v>
      </c>
      <c r="I57" s="12">
        <v>0</v>
      </c>
    </row>
    <row r="58" spans="2:9" ht="15" customHeight="1" x14ac:dyDescent="0.2">
      <c r="B58" t="s">
        <v>169</v>
      </c>
      <c r="C58" s="12">
        <v>15</v>
      </c>
      <c r="D58" s="8">
        <v>1.74</v>
      </c>
      <c r="E58" s="12">
        <v>13</v>
      </c>
      <c r="F58" s="8">
        <v>2.9</v>
      </c>
      <c r="G58" s="12">
        <v>2</v>
      </c>
      <c r="H58" s="8">
        <v>0.48</v>
      </c>
      <c r="I58" s="12">
        <v>0</v>
      </c>
    </row>
    <row r="59" spans="2:9" ht="15" customHeight="1" x14ac:dyDescent="0.2">
      <c r="B59" t="s">
        <v>152</v>
      </c>
      <c r="C59" s="12">
        <v>14</v>
      </c>
      <c r="D59" s="8">
        <v>1.62</v>
      </c>
      <c r="E59" s="12">
        <v>1</v>
      </c>
      <c r="F59" s="8">
        <v>0.22</v>
      </c>
      <c r="G59" s="12">
        <v>13</v>
      </c>
      <c r="H59" s="8">
        <v>3.14</v>
      </c>
      <c r="I59" s="12">
        <v>0</v>
      </c>
    </row>
    <row r="60" spans="2:9" ht="15" customHeight="1" x14ac:dyDescent="0.2">
      <c r="B60" t="s">
        <v>156</v>
      </c>
      <c r="C60" s="12">
        <v>13</v>
      </c>
      <c r="D60" s="8">
        <v>1.5</v>
      </c>
      <c r="E60" s="12">
        <v>9</v>
      </c>
      <c r="F60" s="8">
        <v>2.0099999999999998</v>
      </c>
      <c r="G60" s="12">
        <v>4</v>
      </c>
      <c r="H60" s="8">
        <v>0.97</v>
      </c>
      <c r="I60" s="12">
        <v>0</v>
      </c>
    </row>
    <row r="61" spans="2:9" ht="15" customHeight="1" x14ac:dyDescent="0.2">
      <c r="B61" t="s">
        <v>174</v>
      </c>
      <c r="C61" s="12">
        <v>13</v>
      </c>
      <c r="D61" s="8">
        <v>1.5</v>
      </c>
      <c r="E61" s="12">
        <v>2</v>
      </c>
      <c r="F61" s="8">
        <v>0.45</v>
      </c>
      <c r="G61" s="12">
        <v>11</v>
      </c>
      <c r="H61" s="8">
        <v>2.66</v>
      </c>
      <c r="I61" s="12">
        <v>0</v>
      </c>
    </row>
    <row r="62" spans="2:9" ht="15" customHeight="1" x14ac:dyDescent="0.2">
      <c r="B62" t="s">
        <v>166</v>
      </c>
      <c r="C62" s="12">
        <v>12</v>
      </c>
      <c r="D62" s="8">
        <v>1.39</v>
      </c>
      <c r="E62" s="12">
        <v>5</v>
      </c>
      <c r="F62" s="8">
        <v>1.1200000000000001</v>
      </c>
      <c r="G62" s="12">
        <v>7</v>
      </c>
      <c r="H62" s="8">
        <v>1.69</v>
      </c>
      <c r="I62" s="12">
        <v>0</v>
      </c>
    </row>
    <row r="63" spans="2:9" ht="15" customHeight="1" x14ac:dyDescent="0.2">
      <c r="B63" t="s">
        <v>157</v>
      </c>
      <c r="C63" s="12">
        <v>11</v>
      </c>
      <c r="D63" s="8">
        <v>1.27</v>
      </c>
      <c r="E63" s="12">
        <v>3</v>
      </c>
      <c r="F63" s="8">
        <v>0.67</v>
      </c>
      <c r="G63" s="12">
        <v>8</v>
      </c>
      <c r="H63" s="8">
        <v>1.93</v>
      </c>
      <c r="I63" s="12">
        <v>0</v>
      </c>
    </row>
    <row r="64" spans="2:9" ht="15" customHeight="1" x14ac:dyDescent="0.2">
      <c r="B64" t="s">
        <v>159</v>
      </c>
      <c r="C64" s="12">
        <v>9</v>
      </c>
      <c r="D64" s="8">
        <v>1.04</v>
      </c>
      <c r="E64" s="12">
        <v>0</v>
      </c>
      <c r="F64" s="8">
        <v>0</v>
      </c>
      <c r="G64" s="12">
        <v>9</v>
      </c>
      <c r="H64" s="8">
        <v>2.17</v>
      </c>
      <c r="I64" s="12">
        <v>0</v>
      </c>
    </row>
    <row r="65" spans="2:9" ht="15" customHeight="1" x14ac:dyDescent="0.2">
      <c r="B65" t="s">
        <v>193</v>
      </c>
      <c r="C65" s="12">
        <v>9</v>
      </c>
      <c r="D65" s="8">
        <v>1.04</v>
      </c>
      <c r="E65" s="12">
        <v>6</v>
      </c>
      <c r="F65" s="8">
        <v>1.34</v>
      </c>
      <c r="G65" s="12">
        <v>3</v>
      </c>
      <c r="H65" s="8">
        <v>0.72</v>
      </c>
      <c r="I65" s="12">
        <v>0</v>
      </c>
    </row>
    <row r="66" spans="2:9" ht="15" customHeight="1" x14ac:dyDescent="0.2">
      <c r="B66" t="s">
        <v>176</v>
      </c>
      <c r="C66" s="12">
        <v>9</v>
      </c>
      <c r="D66" s="8">
        <v>1.04</v>
      </c>
      <c r="E66" s="12">
        <v>9</v>
      </c>
      <c r="F66" s="8">
        <v>2.0099999999999998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4688E-4D8F-43DA-96DC-3AD0F2590F0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32</v>
      </c>
      <c r="D5" s="8">
        <v>0.02</v>
      </c>
      <c r="E5" s="12">
        <v>0</v>
      </c>
      <c r="F5" s="8">
        <v>0</v>
      </c>
      <c r="G5" s="12">
        <v>32</v>
      </c>
      <c r="H5" s="8">
        <v>0.04</v>
      </c>
      <c r="I5" s="12">
        <v>0</v>
      </c>
    </row>
    <row r="6" spans="2:9" ht="15" customHeight="1" x14ac:dyDescent="0.2">
      <c r="B6" t="s">
        <v>72</v>
      </c>
      <c r="C6" s="12">
        <v>21624</v>
      </c>
      <c r="D6" s="8">
        <v>13.02</v>
      </c>
      <c r="E6" s="12">
        <v>4879</v>
      </c>
      <c r="F6" s="8">
        <v>6.56</v>
      </c>
      <c r="G6" s="12">
        <v>16739</v>
      </c>
      <c r="H6" s="8">
        <v>18.420000000000002</v>
      </c>
      <c r="I6" s="12">
        <v>6</v>
      </c>
    </row>
    <row r="7" spans="2:9" ht="15" customHeight="1" x14ac:dyDescent="0.2">
      <c r="B7" t="s">
        <v>73</v>
      </c>
      <c r="C7" s="12">
        <v>20928</v>
      </c>
      <c r="D7" s="8">
        <v>12.6</v>
      </c>
      <c r="E7" s="12">
        <v>6534</v>
      </c>
      <c r="F7" s="8">
        <v>8.7899999999999991</v>
      </c>
      <c r="G7" s="12">
        <v>14389</v>
      </c>
      <c r="H7" s="8">
        <v>15.83</v>
      </c>
      <c r="I7" s="12">
        <v>5</v>
      </c>
    </row>
    <row r="8" spans="2:9" ht="15" customHeight="1" x14ac:dyDescent="0.2">
      <c r="B8" t="s">
        <v>74</v>
      </c>
      <c r="C8" s="12">
        <v>239</v>
      </c>
      <c r="D8" s="8">
        <v>0.14000000000000001</v>
      </c>
      <c r="E8" s="12">
        <v>6</v>
      </c>
      <c r="F8" s="8">
        <v>0.01</v>
      </c>
      <c r="G8" s="12">
        <v>223</v>
      </c>
      <c r="H8" s="8">
        <v>0.25</v>
      </c>
      <c r="I8" s="12">
        <v>0</v>
      </c>
    </row>
    <row r="9" spans="2:9" ht="15" customHeight="1" x14ac:dyDescent="0.2">
      <c r="B9" t="s">
        <v>75</v>
      </c>
      <c r="C9" s="12">
        <v>1809</v>
      </c>
      <c r="D9" s="8">
        <v>1.0900000000000001</v>
      </c>
      <c r="E9" s="12">
        <v>89</v>
      </c>
      <c r="F9" s="8">
        <v>0.12</v>
      </c>
      <c r="G9" s="12">
        <v>1716</v>
      </c>
      <c r="H9" s="8">
        <v>1.89</v>
      </c>
      <c r="I9" s="12">
        <v>4</v>
      </c>
    </row>
    <row r="10" spans="2:9" ht="15" customHeight="1" x14ac:dyDescent="0.2">
      <c r="B10" t="s">
        <v>76</v>
      </c>
      <c r="C10" s="12">
        <v>1813</v>
      </c>
      <c r="D10" s="8">
        <v>1.0900000000000001</v>
      </c>
      <c r="E10" s="12">
        <v>242</v>
      </c>
      <c r="F10" s="8">
        <v>0.33</v>
      </c>
      <c r="G10" s="12">
        <v>1552</v>
      </c>
      <c r="H10" s="8">
        <v>1.71</v>
      </c>
      <c r="I10" s="12">
        <v>12</v>
      </c>
    </row>
    <row r="11" spans="2:9" ht="15" customHeight="1" x14ac:dyDescent="0.2">
      <c r="B11" t="s">
        <v>77</v>
      </c>
      <c r="C11" s="12">
        <v>34840</v>
      </c>
      <c r="D11" s="8">
        <v>20.98</v>
      </c>
      <c r="E11" s="12">
        <v>13551</v>
      </c>
      <c r="F11" s="8">
        <v>18.22</v>
      </c>
      <c r="G11" s="12">
        <v>21268</v>
      </c>
      <c r="H11" s="8">
        <v>23.4</v>
      </c>
      <c r="I11" s="12">
        <v>21</v>
      </c>
    </row>
    <row r="12" spans="2:9" ht="15" customHeight="1" x14ac:dyDescent="0.2">
      <c r="B12" t="s">
        <v>78</v>
      </c>
      <c r="C12" s="12">
        <v>1186</v>
      </c>
      <c r="D12" s="8">
        <v>0.71</v>
      </c>
      <c r="E12" s="12">
        <v>145</v>
      </c>
      <c r="F12" s="8">
        <v>0.19</v>
      </c>
      <c r="G12" s="12">
        <v>1040</v>
      </c>
      <c r="H12" s="8">
        <v>1.1399999999999999</v>
      </c>
      <c r="I12" s="12">
        <v>1</v>
      </c>
    </row>
    <row r="13" spans="2:9" ht="15" customHeight="1" x14ac:dyDescent="0.2">
      <c r="B13" t="s">
        <v>79</v>
      </c>
      <c r="C13" s="12">
        <v>16117</v>
      </c>
      <c r="D13" s="8">
        <v>9.6999999999999993</v>
      </c>
      <c r="E13" s="12">
        <v>4410</v>
      </c>
      <c r="F13" s="8">
        <v>5.93</v>
      </c>
      <c r="G13" s="12">
        <v>11680</v>
      </c>
      <c r="H13" s="8">
        <v>12.85</v>
      </c>
      <c r="I13" s="12">
        <v>20</v>
      </c>
    </row>
    <row r="14" spans="2:9" ht="15" customHeight="1" x14ac:dyDescent="0.2">
      <c r="B14" t="s">
        <v>80</v>
      </c>
      <c r="C14" s="12">
        <v>10226</v>
      </c>
      <c r="D14" s="8">
        <v>6.16</v>
      </c>
      <c r="E14" s="12">
        <v>5316</v>
      </c>
      <c r="F14" s="8">
        <v>7.15</v>
      </c>
      <c r="G14" s="12">
        <v>4877</v>
      </c>
      <c r="H14" s="8">
        <v>5.37</v>
      </c>
      <c r="I14" s="12">
        <v>15</v>
      </c>
    </row>
    <row r="15" spans="2:9" ht="15" customHeight="1" x14ac:dyDescent="0.2">
      <c r="B15" t="s">
        <v>81</v>
      </c>
      <c r="C15" s="12">
        <v>18393</v>
      </c>
      <c r="D15" s="8">
        <v>11.08</v>
      </c>
      <c r="E15" s="12">
        <v>14337</v>
      </c>
      <c r="F15" s="8">
        <v>19.28</v>
      </c>
      <c r="G15" s="12">
        <v>3995</v>
      </c>
      <c r="H15" s="8">
        <v>4.4000000000000004</v>
      </c>
      <c r="I15" s="12">
        <v>7</v>
      </c>
    </row>
    <row r="16" spans="2:9" ht="15" customHeight="1" x14ac:dyDescent="0.2">
      <c r="B16" t="s">
        <v>82</v>
      </c>
      <c r="C16" s="12">
        <v>18116</v>
      </c>
      <c r="D16" s="8">
        <v>10.91</v>
      </c>
      <c r="E16" s="12">
        <v>13174</v>
      </c>
      <c r="F16" s="8">
        <v>17.72</v>
      </c>
      <c r="G16" s="12">
        <v>4885</v>
      </c>
      <c r="H16" s="8">
        <v>5.37</v>
      </c>
      <c r="I16" s="12">
        <v>14</v>
      </c>
    </row>
    <row r="17" spans="2:9" ht="15" customHeight="1" x14ac:dyDescent="0.2">
      <c r="B17" t="s">
        <v>83</v>
      </c>
      <c r="C17" s="12">
        <v>7194</v>
      </c>
      <c r="D17" s="8">
        <v>4.33</v>
      </c>
      <c r="E17" s="12">
        <v>4986</v>
      </c>
      <c r="F17" s="8">
        <v>6.71</v>
      </c>
      <c r="G17" s="12">
        <v>2016</v>
      </c>
      <c r="H17" s="8">
        <v>2.2200000000000002</v>
      </c>
      <c r="I17" s="12">
        <v>44</v>
      </c>
    </row>
    <row r="18" spans="2:9" ht="15" customHeight="1" x14ac:dyDescent="0.2">
      <c r="B18" t="s">
        <v>84</v>
      </c>
      <c r="C18" s="12">
        <v>7661</v>
      </c>
      <c r="D18" s="8">
        <v>4.6100000000000003</v>
      </c>
      <c r="E18" s="12">
        <v>4874</v>
      </c>
      <c r="F18" s="8">
        <v>6.55</v>
      </c>
      <c r="G18" s="12">
        <v>2545</v>
      </c>
      <c r="H18" s="8">
        <v>2.8</v>
      </c>
      <c r="I18" s="12">
        <v>27</v>
      </c>
    </row>
    <row r="19" spans="2:9" ht="15" customHeight="1" x14ac:dyDescent="0.2">
      <c r="B19" t="s">
        <v>85</v>
      </c>
      <c r="C19" s="12">
        <v>5898</v>
      </c>
      <c r="D19" s="8">
        <v>3.55</v>
      </c>
      <c r="E19" s="12">
        <v>1819</v>
      </c>
      <c r="F19" s="8">
        <v>2.4500000000000002</v>
      </c>
      <c r="G19" s="12">
        <v>3932</v>
      </c>
      <c r="H19" s="8">
        <v>4.33</v>
      </c>
      <c r="I19" s="12">
        <v>63</v>
      </c>
    </row>
    <row r="20" spans="2:9" ht="15" customHeight="1" x14ac:dyDescent="0.2">
      <c r="B20" s="9" t="s">
        <v>277</v>
      </c>
      <c r="C20" s="12">
        <f>SUM(LTBL_23000[総数／事業所数])</f>
        <v>166076</v>
      </c>
      <c r="E20" s="12">
        <f>SUBTOTAL(109,LTBL_23000[個人／事業所数])</f>
        <v>74362</v>
      </c>
      <c r="G20" s="12">
        <f>SUBTOTAL(109,LTBL_23000[法人／事業所数])</f>
        <v>90889</v>
      </c>
      <c r="I20" s="12">
        <f>SUBTOTAL(109,LTBL_23000[法人以外の団体／事業所数])</f>
        <v>239</v>
      </c>
    </row>
    <row r="21" spans="2:9" ht="15" customHeight="1" x14ac:dyDescent="0.2">
      <c r="E21" s="11">
        <f>LTBL_23000[[#Totals],[個人／事業所数]]/LTBL_23000[[#Totals],[総数／事業所数]]</f>
        <v>0.44775885739059224</v>
      </c>
      <c r="G21" s="11">
        <f>LTBL_23000[[#Totals],[法人／事業所数]]/LTBL_23000[[#Totals],[総数／事業所数]]</f>
        <v>0.54727353741660445</v>
      </c>
      <c r="I21" s="11">
        <f>LTBL_23000[[#Totals],[法人以外の団体／事業所数]]/LTBL_23000[[#Totals],[総数／事業所数]]</f>
        <v>1.4391001710060455E-3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16699</v>
      </c>
      <c r="D24" s="8">
        <v>10.06</v>
      </c>
      <c r="E24" s="12">
        <v>13811</v>
      </c>
      <c r="F24" s="8">
        <v>18.57</v>
      </c>
      <c r="G24" s="12">
        <v>2882</v>
      </c>
      <c r="H24" s="8">
        <v>3.17</v>
      </c>
      <c r="I24" s="12">
        <v>6</v>
      </c>
    </row>
    <row r="25" spans="2:9" ht="15" customHeight="1" x14ac:dyDescent="0.2">
      <c r="B25" t="s">
        <v>111</v>
      </c>
      <c r="C25" s="12">
        <v>14712</v>
      </c>
      <c r="D25" s="8">
        <v>8.86</v>
      </c>
      <c r="E25" s="12">
        <v>11881</v>
      </c>
      <c r="F25" s="8">
        <v>15.98</v>
      </c>
      <c r="G25" s="12">
        <v>2830</v>
      </c>
      <c r="H25" s="8">
        <v>3.11</v>
      </c>
      <c r="I25" s="12">
        <v>1</v>
      </c>
    </row>
    <row r="26" spans="2:9" ht="15" customHeight="1" x14ac:dyDescent="0.2">
      <c r="B26" t="s">
        <v>107</v>
      </c>
      <c r="C26" s="12">
        <v>12762</v>
      </c>
      <c r="D26" s="8">
        <v>7.68</v>
      </c>
      <c r="E26" s="12">
        <v>3846</v>
      </c>
      <c r="F26" s="8">
        <v>5.17</v>
      </c>
      <c r="G26" s="12">
        <v>8891</v>
      </c>
      <c r="H26" s="8">
        <v>9.7799999999999994</v>
      </c>
      <c r="I26" s="12">
        <v>18</v>
      </c>
    </row>
    <row r="27" spans="2:9" ht="15" customHeight="1" x14ac:dyDescent="0.2">
      <c r="B27" t="s">
        <v>105</v>
      </c>
      <c r="C27" s="12">
        <v>8789</v>
      </c>
      <c r="D27" s="8">
        <v>5.29</v>
      </c>
      <c r="E27" s="12">
        <v>4456</v>
      </c>
      <c r="F27" s="8">
        <v>5.99</v>
      </c>
      <c r="G27" s="12">
        <v>4330</v>
      </c>
      <c r="H27" s="8">
        <v>4.76</v>
      </c>
      <c r="I27" s="12">
        <v>3</v>
      </c>
    </row>
    <row r="28" spans="2:9" ht="15" customHeight="1" x14ac:dyDescent="0.2">
      <c r="B28" t="s">
        <v>94</v>
      </c>
      <c r="C28" s="12">
        <v>8029</v>
      </c>
      <c r="D28" s="8">
        <v>4.83</v>
      </c>
      <c r="E28" s="12">
        <v>1533</v>
      </c>
      <c r="F28" s="8">
        <v>2.06</v>
      </c>
      <c r="G28" s="12">
        <v>6494</v>
      </c>
      <c r="H28" s="8">
        <v>7.14</v>
      </c>
      <c r="I28" s="12">
        <v>2</v>
      </c>
    </row>
    <row r="29" spans="2:9" ht="15" customHeight="1" x14ac:dyDescent="0.2">
      <c r="B29" t="s">
        <v>95</v>
      </c>
      <c r="C29" s="12">
        <v>7312</v>
      </c>
      <c r="D29" s="8">
        <v>4.4000000000000004</v>
      </c>
      <c r="E29" s="12">
        <v>2235</v>
      </c>
      <c r="F29" s="8">
        <v>3.01</v>
      </c>
      <c r="G29" s="12">
        <v>5074</v>
      </c>
      <c r="H29" s="8">
        <v>5.58</v>
      </c>
      <c r="I29" s="12">
        <v>3</v>
      </c>
    </row>
    <row r="30" spans="2:9" ht="15" customHeight="1" x14ac:dyDescent="0.2">
      <c r="B30" t="s">
        <v>112</v>
      </c>
      <c r="C30" s="12">
        <v>7194</v>
      </c>
      <c r="D30" s="8">
        <v>4.33</v>
      </c>
      <c r="E30" s="12">
        <v>4986</v>
      </c>
      <c r="F30" s="8">
        <v>6.71</v>
      </c>
      <c r="G30" s="12">
        <v>2016</v>
      </c>
      <c r="H30" s="8">
        <v>2.2200000000000002</v>
      </c>
      <c r="I30" s="12">
        <v>44</v>
      </c>
    </row>
    <row r="31" spans="2:9" ht="15" customHeight="1" x14ac:dyDescent="0.2">
      <c r="B31" t="s">
        <v>108</v>
      </c>
      <c r="C31" s="12">
        <v>6307</v>
      </c>
      <c r="D31" s="8">
        <v>3.8</v>
      </c>
      <c r="E31" s="12">
        <v>3864</v>
      </c>
      <c r="F31" s="8">
        <v>5.2</v>
      </c>
      <c r="G31" s="12">
        <v>2431</v>
      </c>
      <c r="H31" s="8">
        <v>2.67</v>
      </c>
      <c r="I31" s="12">
        <v>12</v>
      </c>
    </row>
    <row r="32" spans="2:9" ht="15" customHeight="1" x14ac:dyDescent="0.2">
      <c r="B32" t="s">
        <v>96</v>
      </c>
      <c r="C32" s="12">
        <v>6283</v>
      </c>
      <c r="D32" s="8">
        <v>3.78</v>
      </c>
      <c r="E32" s="12">
        <v>1111</v>
      </c>
      <c r="F32" s="8">
        <v>1.49</v>
      </c>
      <c r="G32" s="12">
        <v>5171</v>
      </c>
      <c r="H32" s="8">
        <v>5.69</v>
      </c>
      <c r="I32" s="12">
        <v>1</v>
      </c>
    </row>
    <row r="33" spans="2:9" ht="15" customHeight="1" x14ac:dyDescent="0.2">
      <c r="B33" t="s">
        <v>113</v>
      </c>
      <c r="C33" s="12">
        <v>5620</v>
      </c>
      <c r="D33" s="8">
        <v>3.38</v>
      </c>
      <c r="E33" s="12">
        <v>4845</v>
      </c>
      <c r="F33" s="8">
        <v>6.52</v>
      </c>
      <c r="G33" s="12">
        <v>775</v>
      </c>
      <c r="H33" s="8">
        <v>0.85</v>
      </c>
      <c r="I33" s="12">
        <v>0</v>
      </c>
    </row>
    <row r="34" spans="2:9" ht="15" customHeight="1" x14ac:dyDescent="0.2">
      <c r="B34" t="s">
        <v>104</v>
      </c>
      <c r="C34" s="12">
        <v>4946</v>
      </c>
      <c r="D34" s="8">
        <v>2.98</v>
      </c>
      <c r="E34" s="12">
        <v>2499</v>
      </c>
      <c r="F34" s="8">
        <v>3.36</v>
      </c>
      <c r="G34" s="12">
        <v>2447</v>
      </c>
      <c r="H34" s="8">
        <v>2.69</v>
      </c>
      <c r="I34" s="12">
        <v>0</v>
      </c>
    </row>
    <row r="35" spans="2:9" ht="15" customHeight="1" x14ac:dyDescent="0.2">
      <c r="B35" t="s">
        <v>103</v>
      </c>
      <c r="C35" s="12">
        <v>4887</v>
      </c>
      <c r="D35" s="8">
        <v>2.94</v>
      </c>
      <c r="E35" s="12">
        <v>3062</v>
      </c>
      <c r="F35" s="8">
        <v>4.12</v>
      </c>
      <c r="G35" s="12">
        <v>1813</v>
      </c>
      <c r="H35" s="8">
        <v>1.99</v>
      </c>
      <c r="I35" s="12">
        <v>12</v>
      </c>
    </row>
    <row r="36" spans="2:9" ht="15" customHeight="1" x14ac:dyDescent="0.2">
      <c r="B36" t="s">
        <v>102</v>
      </c>
      <c r="C36" s="12">
        <v>3708</v>
      </c>
      <c r="D36" s="8">
        <v>2.23</v>
      </c>
      <c r="E36" s="12">
        <v>1627</v>
      </c>
      <c r="F36" s="8">
        <v>2.19</v>
      </c>
      <c r="G36" s="12">
        <v>2080</v>
      </c>
      <c r="H36" s="8">
        <v>2.29</v>
      </c>
      <c r="I36" s="12">
        <v>1</v>
      </c>
    </row>
    <row r="37" spans="2:9" ht="15" customHeight="1" x14ac:dyDescent="0.2">
      <c r="B37" t="s">
        <v>109</v>
      </c>
      <c r="C37" s="12">
        <v>3485</v>
      </c>
      <c r="D37" s="8">
        <v>2.1</v>
      </c>
      <c r="E37" s="12">
        <v>1428</v>
      </c>
      <c r="F37" s="8">
        <v>1.92</v>
      </c>
      <c r="G37" s="12">
        <v>2040</v>
      </c>
      <c r="H37" s="8">
        <v>2.2400000000000002</v>
      </c>
      <c r="I37" s="12">
        <v>1</v>
      </c>
    </row>
    <row r="38" spans="2:9" ht="15" customHeight="1" x14ac:dyDescent="0.2">
      <c r="B38" t="s">
        <v>100</v>
      </c>
      <c r="C38" s="12">
        <v>3184</v>
      </c>
      <c r="D38" s="8">
        <v>1.92</v>
      </c>
      <c r="E38" s="12">
        <v>324</v>
      </c>
      <c r="F38" s="8">
        <v>0.44</v>
      </c>
      <c r="G38" s="12">
        <v>2860</v>
      </c>
      <c r="H38" s="8">
        <v>3.15</v>
      </c>
      <c r="I38" s="12">
        <v>0</v>
      </c>
    </row>
    <row r="39" spans="2:9" ht="15" customHeight="1" x14ac:dyDescent="0.2">
      <c r="B39" t="s">
        <v>97</v>
      </c>
      <c r="C39" s="12">
        <v>3014</v>
      </c>
      <c r="D39" s="8">
        <v>1.81</v>
      </c>
      <c r="E39" s="12">
        <v>835</v>
      </c>
      <c r="F39" s="8">
        <v>1.1200000000000001</v>
      </c>
      <c r="G39" s="12">
        <v>2179</v>
      </c>
      <c r="H39" s="8">
        <v>2.4</v>
      </c>
      <c r="I39" s="12">
        <v>0</v>
      </c>
    </row>
    <row r="40" spans="2:9" ht="15" customHeight="1" x14ac:dyDescent="0.2">
      <c r="B40" t="s">
        <v>98</v>
      </c>
      <c r="C40" s="12">
        <v>2870</v>
      </c>
      <c r="D40" s="8">
        <v>1.73</v>
      </c>
      <c r="E40" s="12">
        <v>567</v>
      </c>
      <c r="F40" s="8">
        <v>0.76</v>
      </c>
      <c r="G40" s="12">
        <v>2303</v>
      </c>
      <c r="H40" s="8">
        <v>2.5299999999999998</v>
      </c>
      <c r="I40" s="12">
        <v>0</v>
      </c>
    </row>
    <row r="41" spans="2:9" ht="15" customHeight="1" x14ac:dyDescent="0.2">
      <c r="B41" t="s">
        <v>101</v>
      </c>
      <c r="C41" s="12">
        <v>2834</v>
      </c>
      <c r="D41" s="8">
        <v>1.71</v>
      </c>
      <c r="E41" s="12">
        <v>541</v>
      </c>
      <c r="F41" s="8">
        <v>0.73</v>
      </c>
      <c r="G41" s="12">
        <v>2292</v>
      </c>
      <c r="H41" s="8">
        <v>2.52</v>
      </c>
      <c r="I41" s="12">
        <v>1</v>
      </c>
    </row>
    <row r="42" spans="2:9" ht="15" customHeight="1" x14ac:dyDescent="0.2">
      <c r="B42" t="s">
        <v>99</v>
      </c>
      <c r="C42" s="12">
        <v>2762</v>
      </c>
      <c r="D42" s="8">
        <v>1.66</v>
      </c>
      <c r="E42" s="12">
        <v>372</v>
      </c>
      <c r="F42" s="8">
        <v>0.5</v>
      </c>
      <c r="G42" s="12">
        <v>2390</v>
      </c>
      <c r="H42" s="8">
        <v>2.63</v>
      </c>
      <c r="I42" s="12">
        <v>0</v>
      </c>
    </row>
    <row r="43" spans="2:9" ht="15" customHeight="1" x14ac:dyDescent="0.2">
      <c r="B43" t="s">
        <v>106</v>
      </c>
      <c r="C43" s="12">
        <v>2604</v>
      </c>
      <c r="D43" s="8">
        <v>1.57</v>
      </c>
      <c r="E43" s="12">
        <v>478</v>
      </c>
      <c r="F43" s="8">
        <v>0.64</v>
      </c>
      <c r="G43" s="12">
        <v>2125</v>
      </c>
      <c r="H43" s="8">
        <v>2.34</v>
      </c>
      <c r="I43" s="12">
        <v>1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7237</v>
      </c>
      <c r="D47" s="8">
        <v>4.3600000000000003</v>
      </c>
      <c r="E47" s="12">
        <v>2892</v>
      </c>
      <c r="F47" s="8">
        <v>3.89</v>
      </c>
      <c r="G47" s="12">
        <v>4338</v>
      </c>
      <c r="H47" s="8">
        <v>4.7699999999999996</v>
      </c>
      <c r="I47" s="12">
        <v>4</v>
      </c>
    </row>
    <row r="48" spans="2:9" ht="15" customHeight="1" x14ac:dyDescent="0.2">
      <c r="B48" t="s">
        <v>168</v>
      </c>
      <c r="C48" s="12">
        <v>6915</v>
      </c>
      <c r="D48" s="8">
        <v>4.16</v>
      </c>
      <c r="E48" s="12">
        <v>5886</v>
      </c>
      <c r="F48" s="8">
        <v>7.92</v>
      </c>
      <c r="G48" s="12">
        <v>1028</v>
      </c>
      <c r="H48" s="8">
        <v>1.1299999999999999</v>
      </c>
      <c r="I48" s="12">
        <v>1</v>
      </c>
    </row>
    <row r="49" spans="2:9" ht="15" customHeight="1" x14ac:dyDescent="0.2">
      <c r="B49" t="s">
        <v>170</v>
      </c>
      <c r="C49" s="12">
        <v>4679</v>
      </c>
      <c r="D49" s="8">
        <v>2.82</v>
      </c>
      <c r="E49" s="12">
        <v>3644</v>
      </c>
      <c r="F49" s="8">
        <v>4.9000000000000004</v>
      </c>
      <c r="G49" s="12">
        <v>1017</v>
      </c>
      <c r="H49" s="8">
        <v>1.1200000000000001</v>
      </c>
      <c r="I49" s="12">
        <v>16</v>
      </c>
    </row>
    <row r="50" spans="2:9" ht="15" customHeight="1" x14ac:dyDescent="0.2">
      <c r="B50" t="s">
        <v>165</v>
      </c>
      <c r="C50" s="12">
        <v>4406</v>
      </c>
      <c r="D50" s="8">
        <v>2.65</v>
      </c>
      <c r="E50" s="12">
        <v>3986</v>
      </c>
      <c r="F50" s="8">
        <v>5.36</v>
      </c>
      <c r="G50" s="12">
        <v>415</v>
      </c>
      <c r="H50" s="8">
        <v>0.46</v>
      </c>
      <c r="I50" s="12">
        <v>5</v>
      </c>
    </row>
    <row r="51" spans="2:9" ht="15" customHeight="1" x14ac:dyDescent="0.2">
      <c r="B51" t="s">
        <v>163</v>
      </c>
      <c r="C51" s="12">
        <v>4143</v>
      </c>
      <c r="D51" s="8">
        <v>2.4900000000000002</v>
      </c>
      <c r="E51" s="12">
        <v>3017</v>
      </c>
      <c r="F51" s="8">
        <v>4.0599999999999996</v>
      </c>
      <c r="G51" s="12">
        <v>1126</v>
      </c>
      <c r="H51" s="8">
        <v>1.24</v>
      </c>
      <c r="I51" s="12">
        <v>0</v>
      </c>
    </row>
    <row r="52" spans="2:9" ht="15" customHeight="1" x14ac:dyDescent="0.2">
      <c r="B52" t="s">
        <v>171</v>
      </c>
      <c r="C52" s="12">
        <v>4097</v>
      </c>
      <c r="D52" s="8">
        <v>2.4700000000000002</v>
      </c>
      <c r="E52" s="12">
        <v>3563</v>
      </c>
      <c r="F52" s="8">
        <v>4.79</v>
      </c>
      <c r="G52" s="12">
        <v>534</v>
      </c>
      <c r="H52" s="8">
        <v>0.59</v>
      </c>
      <c r="I52" s="12">
        <v>0</v>
      </c>
    </row>
    <row r="53" spans="2:9" ht="15" customHeight="1" x14ac:dyDescent="0.2">
      <c r="B53" t="s">
        <v>167</v>
      </c>
      <c r="C53" s="12">
        <v>4079</v>
      </c>
      <c r="D53" s="8">
        <v>2.46</v>
      </c>
      <c r="E53" s="12">
        <v>3856</v>
      </c>
      <c r="F53" s="8">
        <v>5.19</v>
      </c>
      <c r="G53" s="12">
        <v>223</v>
      </c>
      <c r="H53" s="8">
        <v>0.25</v>
      </c>
      <c r="I53" s="12">
        <v>0</v>
      </c>
    </row>
    <row r="54" spans="2:9" ht="15" customHeight="1" x14ac:dyDescent="0.2">
      <c r="B54" t="s">
        <v>164</v>
      </c>
      <c r="C54" s="12">
        <v>3448</v>
      </c>
      <c r="D54" s="8">
        <v>2.08</v>
      </c>
      <c r="E54" s="12">
        <v>3043</v>
      </c>
      <c r="F54" s="8">
        <v>4.09</v>
      </c>
      <c r="G54" s="12">
        <v>405</v>
      </c>
      <c r="H54" s="8">
        <v>0.45</v>
      </c>
      <c r="I54" s="12">
        <v>0</v>
      </c>
    </row>
    <row r="55" spans="2:9" ht="15" customHeight="1" x14ac:dyDescent="0.2">
      <c r="B55" t="s">
        <v>156</v>
      </c>
      <c r="C55" s="12">
        <v>2944</v>
      </c>
      <c r="D55" s="8">
        <v>1.77</v>
      </c>
      <c r="E55" s="12">
        <v>1396</v>
      </c>
      <c r="F55" s="8">
        <v>1.88</v>
      </c>
      <c r="G55" s="12">
        <v>1548</v>
      </c>
      <c r="H55" s="8">
        <v>1.7</v>
      </c>
      <c r="I55" s="12">
        <v>0</v>
      </c>
    </row>
    <row r="56" spans="2:9" ht="15" customHeight="1" x14ac:dyDescent="0.2">
      <c r="B56" t="s">
        <v>160</v>
      </c>
      <c r="C56" s="12">
        <v>2837</v>
      </c>
      <c r="D56" s="8">
        <v>1.71</v>
      </c>
      <c r="E56" s="12">
        <v>364</v>
      </c>
      <c r="F56" s="8">
        <v>0.49</v>
      </c>
      <c r="G56" s="12">
        <v>2468</v>
      </c>
      <c r="H56" s="8">
        <v>2.72</v>
      </c>
      <c r="I56" s="12">
        <v>5</v>
      </c>
    </row>
    <row r="57" spans="2:9" ht="15" customHeight="1" x14ac:dyDescent="0.2">
      <c r="B57" t="s">
        <v>158</v>
      </c>
      <c r="C57" s="12">
        <v>2715</v>
      </c>
      <c r="D57" s="8">
        <v>1.63</v>
      </c>
      <c r="E57" s="12">
        <v>1610</v>
      </c>
      <c r="F57" s="8">
        <v>2.17</v>
      </c>
      <c r="G57" s="12">
        <v>1103</v>
      </c>
      <c r="H57" s="8">
        <v>1.21</v>
      </c>
      <c r="I57" s="12">
        <v>2</v>
      </c>
    </row>
    <row r="58" spans="2:9" ht="15" customHeight="1" x14ac:dyDescent="0.2">
      <c r="B58" t="s">
        <v>154</v>
      </c>
      <c r="C58" s="12">
        <v>2588</v>
      </c>
      <c r="D58" s="8">
        <v>1.56</v>
      </c>
      <c r="E58" s="12">
        <v>567</v>
      </c>
      <c r="F58" s="8">
        <v>0.76</v>
      </c>
      <c r="G58" s="12">
        <v>2020</v>
      </c>
      <c r="H58" s="8">
        <v>2.2200000000000002</v>
      </c>
      <c r="I58" s="12">
        <v>1</v>
      </c>
    </row>
    <row r="59" spans="2:9" ht="15" customHeight="1" x14ac:dyDescent="0.2">
      <c r="B59" t="s">
        <v>153</v>
      </c>
      <c r="C59" s="12">
        <v>2272</v>
      </c>
      <c r="D59" s="8">
        <v>1.37</v>
      </c>
      <c r="E59" s="12">
        <v>284</v>
      </c>
      <c r="F59" s="8">
        <v>0.38</v>
      </c>
      <c r="G59" s="12">
        <v>1988</v>
      </c>
      <c r="H59" s="8">
        <v>2.19</v>
      </c>
      <c r="I59" s="12">
        <v>0</v>
      </c>
    </row>
    <row r="60" spans="2:9" ht="15" customHeight="1" x14ac:dyDescent="0.2">
      <c r="B60" t="s">
        <v>155</v>
      </c>
      <c r="C60" s="12">
        <v>2269</v>
      </c>
      <c r="D60" s="8">
        <v>1.37</v>
      </c>
      <c r="E60" s="12">
        <v>452</v>
      </c>
      <c r="F60" s="8">
        <v>0.61</v>
      </c>
      <c r="G60" s="12">
        <v>1817</v>
      </c>
      <c r="H60" s="8">
        <v>2</v>
      </c>
      <c r="I60" s="12">
        <v>0</v>
      </c>
    </row>
    <row r="61" spans="2:9" ht="15" customHeight="1" x14ac:dyDescent="0.2">
      <c r="B61" t="s">
        <v>152</v>
      </c>
      <c r="C61" s="12">
        <v>2157</v>
      </c>
      <c r="D61" s="8">
        <v>1.3</v>
      </c>
      <c r="E61" s="12">
        <v>307</v>
      </c>
      <c r="F61" s="8">
        <v>0.41</v>
      </c>
      <c r="G61" s="12">
        <v>1848</v>
      </c>
      <c r="H61" s="8">
        <v>2.0299999999999998</v>
      </c>
      <c r="I61" s="12">
        <v>2</v>
      </c>
    </row>
    <row r="62" spans="2:9" ht="15" customHeight="1" x14ac:dyDescent="0.2">
      <c r="B62" t="s">
        <v>157</v>
      </c>
      <c r="C62" s="12">
        <v>2112</v>
      </c>
      <c r="D62" s="8">
        <v>1.27</v>
      </c>
      <c r="E62" s="12">
        <v>881</v>
      </c>
      <c r="F62" s="8">
        <v>1.18</v>
      </c>
      <c r="G62" s="12">
        <v>1231</v>
      </c>
      <c r="H62" s="8">
        <v>1.35</v>
      </c>
      <c r="I62" s="12">
        <v>0</v>
      </c>
    </row>
    <row r="63" spans="2:9" ht="15" customHeight="1" x14ac:dyDescent="0.2">
      <c r="B63" t="s">
        <v>166</v>
      </c>
      <c r="C63" s="12">
        <v>2104</v>
      </c>
      <c r="D63" s="8">
        <v>1.27</v>
      </c>
      <c r="E63" s="12">
        <v>1160</v>
      </c>
      <c r="F63" s="8">
        <v>1.56</v>
      </c>
      <c r="G63" s="12">
        <v>944</v>
      </c>
      <c r="H63" s="8">
        <v>1.04</v>
      </c>
      <c r="I63" s="12">
        <v>0</v>
      </c>
    </row>
    <row r="64" spans="2:9" ht="15" customHeight="1" x14ac:dyDescent="0.2">
      <c r="B64" t="s">
        <v>162</v>
      </c>
      <c r="C64" s="12">
        <v>2081</v>
      </c>
      <c r="D64" s="8">
        <v>1.25</v>
      </c>
      <c r="E64" s="12">
        <v>839</v>
      </c>
      <c r="F64" s="8">
        <v>1.1299999999999999</v>
      </c>
      <c r="G64" s="12">
        <v>1226</v>
      </c>
      <c r="H64" s="8">
        <v>1.35</v>
      </c>
      <c r="I64" s="12">
        <v>0</v>
      </c>
    </row>
    <row r="65" spans="2:9" ht="15" customHeight="1" x14ac:dyDescent="0.2">
      <c r="B65" t="s">
        <v>159</v>
      </c>
      <c r="C65" s="12">
        <v>1983</v>
      </c>
      <c r="D65" s="8">
        <v>1.19</v>
      </c>
      <c r="E65" s="12">
        <v>427</v>
      </c>
      <c r="F65" s="8">
        <v>0.56999999999999995</v>
      </c>
      <c r="G65" s="12">
        <v>1556</v>
      </c>
      <c r="H65" s="8">
        <v>1.71</v>
      </c>
      <c r="I65" s="12">
        <v>0</v>
      </c>
    </row>
    <row r="66" spans="2:9" ht="15" customHeight="1" x14ac:dyDescent="0.2">
      <c r="B66" t="s">
        <v>169</v>
      </c>
      <c r="C66" s="12">
        <v>1975</v>
      </c>
      <c r="D66" s="8">
        <v>1.19</v>
      </c>
      <c r="E66" s="12">
        <v>1313</v>
      </c>
      <c r="F66" s="8">
        <v>1.77</v>
      </c>
      <c r="G66" s="12">
        <v>660</v>
      </c>
      <c r="H66" s="8">
        <v>0.73</v>
      </c>
      <c r="I66" s="12">
        <v>2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BC0A-687B-47B3-BB02-0BAC75E6D552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205</v>
      </c>
      <c r="D6" s="8">
        <v>16.12</v>
      </c>
      <c r="E6" s="12">
        <v>51</v>
      </c>
      <c r="F6" s="8">
        <v>8.9499999999999993</v>
      </c>
      <c r="G6" s="12">
        <v>153</v>
      </c>
      <c r="H6" s="8">
        <v>21.95</v>
      </c>
      <c r="I6" s="12">
        <v>1</v>
      </c>
    </row>
    <row r="7" spans="2:9" ht="15" customHeight="1" x14ac:dyDescent="0.2">
      <c r="B7" t="s">
        <v>73</v>
      </c>
      <c r="C7" s="12">
        <v>202</v>
      </c>
      <c r="D7" s="8">
        <v>15.88</v>
      </c>
      <c r="E7" s="12">
        <v>51</v>
      </c>
      <c r="F7" s="8">
        <v>8.9499999999999993</v>
      </c>
      <c r="G7" s="12">
        <v>151</v>
      </c>
      <c r="H7" s="8">
        <v>21.66</v>
      </c>
      <c r="I7" s="12">
        <v>0</v>
      </c>
    </row>
    <row r="8" spans="2:9" ht="15" customHeight="1" x14ac:dyDescent="0.2">
      <c r="B8" t="s">
        <v>74</v>
      </c>
      <c r="C8" s="12">
        <v>4</v>
      </c>
      <c r="D8" s="8">
        <v>0.31</v>
      </c>
      <c r="E8" s="12">
        <v>0</v>
      </c>
      <c r="F8" s="8">
        <v>0</v>
      </c>
      <c r="G8" s="12">
        <v>4</v>
      </c>
      <c r="H8" s="8">
        <v>0.56999999999999995</v>
      </c>
      <c r="I8" s="12">
        <v>0</v>
      </c>
    </row>
    <row r="9" spans="2:9" ht="15" customHeight="1" x14ac:dyDescent="0.2">
      <c r="B9" t="s">
        <v>75</v>
      </c>
      <c r="C9" s="12">
        <v>5</v>
      </c>
      <c r="D9" s="8">
        <v>0.39</v>
      </c>
      <c r="E9" s="12">
        <v>0</v>
      </c>
      <c r="F9" s="8">
        <v>0</v>
      </c>
      <c r="G9" s="12">
        <v>5</v>
      </c>
      <c r="H9" s="8">
        <v>0.72</v>
      </c>
      <c r="I9" s="12">
        <v>0</v>
      </c>
    </row>
    <row r="10" spans="2:9" ht="15" customHeight="1" x14ac:dyDescent="0.2">
      <c r="B10" t="s">
        <v>76</v>
      </c>
      <c r="C10" s="12">
        <v>14</v>
      </c>
      <c r="D10" s="8">
        <v>1.1000000000000001</v>
      </c>
      <c r="E10" s="12">
        <v>4</v>
      </c>
      <c r="F10" s="8">
        <v>0.7</v>
      </c>
      <c r="G10" s="12">
        <v>10</v>
      </c>
      <c r="H10" s="8">
        <v>1.43</v>
      </c>
      <c r="I10" s="12">
        <v>0</v>
      </c>
    </row>
    <row r="11" spans="2:9" ht="15" customHeight="1" x14ac:dyDescent="0.2">
      <c r="B11" t="s">
        <v>77</v>
      </c>
      <c r="C11" s="12">
        <v>227</v>
      </c>
      <c r="D11" s="8">
        <v>17.850000000000001</v>
      </c>
      <c r="E11" s="12">
        <v>100</v>
      </c>
      <c r="F11" s="8">
        <v>17.54</v>
      </c>
      <c r="G11" s="12">
        <v>127</v>
      </c>
      <c r="H11" s="8">
        <v>18.22</v>
      </c>
      <c r="I11" s="12">
        <v>0</v>
      </c>
    </row>
    <row r="12" spans="2:9" ht="15" customHeight="1" x14ac:dyDescent="0.2">
      <c r="B12" t="s">
        <v>78</v>
      </c>
      <c r="C12" s="12">
        <v>7</v>
      </c>
      <c r="D12" s="8">
        <v>0.55000000000000004</v>
      </c>
      <c r="E12" s="12">
        <v>2</v>
      </c>
      <c r="F12" s="8">
        <v>0.35</v>
      </c>
      <c r="G12" s="12">
        <v>5</v>
      </c>
      <c r="H12" s="8">
        <v>0.72</v>
      </c>
      <c r="I12" s="12">
        <v>0</v>
      </c>
    </row>
    <row r="13" spans="2:9" ht="15" customHeight="1" x14ac:dyDescent="0.2">
      <c r="B13" t="s">
        <v>79</v>
      </c>
      <c r="C13" s="12">
        <v>147</v>
      </c>
      <c r="D13" s="8">
        <v>11.56</v>
      </c>
      <c r="E13" s="12">
        <v>57</v>
      </c>
      <c r="F13" s="8">
        <v>10</v>
      </c>
      <c r="G13" s="12">
        <v>90</v>
      </c>
      <c r="H13" s="8">
        <v>12.91</v>
      </c>
      <c r="I13" s="12">
        <v>0</v>
      </c>
    </row>
    <row r="14" spans="2:9" ht="15" customHeight="1" x14ac:dyDescent="0.2">
      <c r="B14" t="s">
        <v>80</v>
      </c>
      <c r="C14" s="12">
        <v>72</v>
      </c>
      <c r="D14" s="8">
        <v>5.66</v>
      </c>
      <c r="E14" s="12">
        <v>40</v>
      </c>
      <c r="F14" s="8">
        <v>7.02</v>
      </c>
      <c r="G14" s="12">
        <v>32</v>
      </c>
      <c r="H14" s="8">
        <v>4.59</v>
      </c>
      <c r="I14" s="12">
        <v>0</v>
      </c>
    </row>
    <row r="15" spans="2:9" ht="15" customHeight="1" x14ac:dyDescent="0.2">
      <c r="B15" t="s">
        <v>81</v>
      </c>
      <c r="C15" s="12">
        <v>97</v>
      </c>
      <c r="D15" s="8">
        <v>7.63</v>
      </c>
      <c r="E15" s="12">
        <v>72</v>
      </c>
      <c r="F15" s="8">
        <v>12.63</v>
      </c>
      <c r="G15" s="12">
        <v>25</v>
      </c>
      <c r="H15" s="8">
        <v>3.59</v>
      </c>
      <c r="I15" s="12">
        <v>0</v>
      </c>
    </row>
    <row r="16" spans="2:9" ht="15" customHeight="1" x14ac:dyDescent="0.2">
      <c r="B16" t="s">
        <v>82</v>
      </c>
      <c r="C16" s="12">
        <v>123</v>
      </c>
      <c r="D16" s="8">
        <v>9.67</v>
      </c>
      <c r="E16" s="12">
        <v>94</v>
      </c>
      <c r="F16" s="8">
        <v>16.489999999999998</v>
      </c>
      <c r="G16" s="12">
        <v>29</v>
      </c>
      <c r="H16" s="8">
        <v>4.16</v>
      </c>
      <c r="I16" s="12">
        <v>0</v>
      </c>
    </row>
    <row r="17" spans="2:9" ht="15" customHeight="1" x14ac:dyDescent="0.2">
      <c r="B17" t="s">
        <v>83</v>
      </c>
      <c r="C17" s="12">
        <v>59</v>
      </c>
      <c r="D17" s="8">
        <v>4.6399999999999997</v>
      </c>
      <c r="E17" s="12">
        <v>47</v>
      </c>
      <c r="F17" s="8">
        <v>8.25</v>
      </c>
      <c r="G17" s="12">
        <v>9</v>
      </c>
      <c r="H17" s="8">
        <v>1.29</v>
      </c>
      <c r="I17" s="12">
        <v>0</v>
      </c>
    </row>
    <row r="18" spans="2:9" ht="15" customHeight="1" x14ac:dyDescent="0.2">
      <c r="B18" t="s">
        <v>84</v>
      </c>
      <c r="C18" s="12">
        <v>71</v>
      </c>
      <c r="D18" s="8">
        <v>5.58</v>
      </c>
      <c r="E18" s="12">
        <v>43</v>
      </c>
      <c r="F18" s="8">
        <v>7.54</v>
      </c>
      <c r="G18" s="12">
        <v>27</v>
      </c>
      <c r="H18" s="8">
        <v>3.87</v>
      </c>
      <c r="I18" s="12">
        <v>0</v>
      </c>
    </row>
    <row r="19" spans="2:9" ht="15" customHeight="1" x14ac:dyDescent="0.2">
      <c r="B19" t="s">
        <v>85</v>
      </c>
      <c r="C19" s="12">
        <v>39</v>
      </c>
      <c r="D19" s="8">
        <v>3.07</v>
      </c>
      <c r="E19" s="12">
        <v>9</v>
      </c>
      <c r="F19" s="8">
        <v>1.58</v>
      </c>
      <c r="G19" s="12">
        <v>30</v>
      </c>
      <c r="H19" s="8">
        <v>4.3</v>
      </c>
      <c r="I19" s="12">
        <v>0</v>
      </c>
    </row>
    <row r="20" spans="2:9" ht="15" customHeight="1" x14ac:dyDescent="0.2">
      <c r="B20" s="9" t="s">
        <v>277</v>
      </c>
      <c r="C20" s="12">
        <f>SUM(LTBL_23229[総数／事業所数])</f>
        <v>1272</v>
      </c>
      <c r="E20" s="12">
        <f>SUBTOTAL(109,LTBL_23229[個人／事業所数])</f>
        <v>570</v>
      </c>
      <c r="G20" s="12">
        <f>SUBTOTAL(109,LTBL_23229[法人／事業所数])</f>
        <v>697</v>
      </c>
      <c r="I20" s="12">
        <f>SUBTOTAL(109,LTBL_23229[法人以外の団体／事業所数])</f>
        <v>1</v>
      </c>
    </row>
    <row r="21" spans="2:9" ht="15" customHeight="1" x14ac:dyDescent="0.2">
      <c r="E21" s="11">
        <f>LTBL_23229[[#Totals],[個人／事業所数]]/LTBL_23229[[#Totals],[総数／事業所数]]</f>
        <v>0.44811320754716982</v>
      </c>
      <c r="G21" s="11">
        <f>LTBL_23229[[#Totals],[法人／事業所数]]/LTBL_23229[[#Totals],[総数／事業所数]]</f>
        <v>0.54795597484276726</v>
      </c>
      <c r="I21" s="11">
        <f>LTBL_23229[[#Totals],[法人以外の団体／事業所数]]/LTBL_23229[[#Totals],[総数／事業所数]]</f>
        <v>7.8616352201257866E-4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125</v>
      </c>
      <c r="D24" s="8">
        <v>9.83</v>
      </c>
      <c r="E24" s="12">
        <v>54</v>
      </c>
      <c r="F24" s="8">
        <v>9.4700000000000006</v>
      </c>
      <c r="G24" s="12">
        <v>71</v>
      </c>
      <c r="H24" s="8">
        <v>10.19</v>
      </c>
      <c r="I24" s="12">
        <v>0</v>
      </c>
    </row>
    <row r="25" spans="2:9" ht="15" customHeight="1" x14ac:dyDescent="0.2">
      <c r="B25" t="s">
        <v>111</v>
      </c>
      <c r="C25" s="12">
        <v>107</v>
      </c>
      <c r="D25" s="8">
        <v>8.41</v>
      </c>
      <c r="E25" s="12">
        <v>85</v>
      </c>
      <c r="F25" s="8">
        <v>14.91</v>
      </c>
      <c r="G25" s="12">
        <v>22</v>
      </c>
      <c r="H25" s="8">
        <v>3.16</v>
      </c>
      <c r="I25" s="12">
        <v>0</v>
      </c>
    </row>
    <row r="26" spans="2:9" ht="15" customHeight="1" x14ac:dyDescent="0.2">
      <c r="B26" t="s">
        <v>110</v>
      </c>
      <c r="C26" s="12">
        <v>85</v>
      </c>
      <c r="D26" s="8">
        <v>6.68</v>
      </c>
      <c r="E26" s="12">
        <v>69</v>
      </c>
      <c r="F26" s="8">
        <v>12.11</v>
      </c>
      <c r="G26" s="12">
        <v>16</v>
      </c>
      <c r="H26" s="8">
        <v>2.2999999999999998</v>
      </c>
      <c r="I26" s="12">
        <v>0</v>
      </c>
    </row>
    <row r="27" spans="2:9" ht="15" customHeight="1" x14ac:dyDescent="0.2">
      <c r="B27" t="s">
        <v>95</v>
      </c>
      <c r="C27" s="12">
        <v>72</v>
      </c>
      <c r="D27" s="8">
        <v>5.66</v>
      </c>
      <c r="E27" s="12">
        <v>25</v>
      </c>
      <c r="F27" s="8">
        <v>4.3899999999999997</v>
      </c>
      <c r="G27" s="12">
        <v>47</v>
      </c>
      <c r="H27" s="8">
        <v>6.74</v>
      </c>
      <c r="I27" s="12">
        <v>0</v>
      </c>
    </row>
    <row r="28" spans="2:9" ht="15" customHeight="1" x14ac:dyDescent="0.2">
      <c r="B28" t="s">
        <v>94</v>
      </c>
      <c r="C28" s="12">
        <v>71</v>
      </c>
      <c r="D28" s="8">
        <v>5.58</v>
      </c>
      <c r="E28" s="12">
        <v>15</v>
      </c>
      <c r="F28" s="8">
        <v>2.63</v>
      </c>
      <c r="G28" s="12">
        <v>56</v>
      </c>
      <c r="H28" s="8">
        <v>8.0299999999999994</v>
      </c>
      <c r="I28" s="12">
        <v>0</v>
      </c>
    </row>
    <row r="29" spans="2:9" ht="15" customHeight="1" x14ac:dyDescent="0.2">
      <c r="B29" t="s">
        <v>105</v>
      </c>
      <c r="C29" s="12">
        <v>67</v>
      </c>
      <c r="D29" s="8">
        <v>5.27</v>
      </c>
      <c r="E29" s="12">
        <v>33</v>
      </c>
      <c r="F29" s="8">
        <v>5.79</v>
      </c>
      <c r="G29" s="12">
        <v>34</v>
      </c>
      <c r="H29" s="8">
        <v>4.88</v>
      </c>
      <c r="I29" s="12">
        <v>0</v>
      </c>
    </row>
    <row r="30" spans="2:9" ht="15" customHeight="1" x14ac:dyDescent="0.2">
      <c r="B30" t="s">
        <v>96</v>
      </c>
      <c r="C30" s="12">
        <v>62</v>
      </c>
      <c r="D30" s="8">
        <v>4.87</v>
      </c>
      <c r="E30" s="12">
        <v>11</v>
      </c>
      <c r="F30" s="8">
        <v>1.93</v>
      </c>
      <c r="G30" s="12">
        <v>50</v>
      </c>
      <c r="H30" s="8">
        <v>7.17</v>
      </c>
      <c r="I30" s="12">
        <v>1</v>
      </c>
    </row>
    <row r="31" spans="2:9" ht="15" customHeight="1" x14ac:dyDescent="0.2">
      <c r="B31" t="s">
        <v>112</v>
      </c>
      <c r="C31" s="12">
        <v>59</v>
      </c>
      <c r="D31" s="8">
        <v>4.6399999999999997</v>
      </c>
      <c r="E31" s="12">
        <v>47</v>
      </c>
      <c r="F31" s="8">
        <v>8.25</v>
      </c>
      <c r="G31" s="12">
        <v>9</v>
      </c>
      <c r="H31" s="8">
        <v>1.29</v>
      </c>
      <c r="I31" s="12">
        <v>0</v>
      </c>
    </row>
    <row r="32" spans="2:9" ht="15" customHeight="1" x14ac:dyDescent="0.2">
      <c r="B32" t="s">
        <v>104</v>
      </c>
      <c r="C32" s="12">
        <v>51</v>
      </c>
      <c r="D32" s="8">
        <v>4.01</v>
      </c>
      <c r="E32" s="12">
        <v>25</v>
      </c>
      <c r="F32" s="8">
        <v>4.3899999999999997</v>
      </c>
      <c r="G32" s="12">
        <v>26</v>
      </c>
      <c r="H32" s="8">
        <v>3.73</v>
      </c>
      <c r="I32" s="12">
        <v>0</v>
      </c>
    </row>
    <row r="33" spans="2:9" ht="15" customHeight="1" x14ac:dyDescent="0.2">
      <c r="B33" t="s">
        <v>113</v>
      </c>
      <c r="C33" s="12">
        <v>51</v>
      </c>
      <c r="D33" s="8">
        <v>4.01</v>
      </c>
      <c r="E33" s="12">
        <v>42</v>
      </c>
      <c r="F33" s="8">
        <v>7.37</v>
      </c>
      <c r="G33" s="12">
        <v>9</v>
      </c>
      <c r="H33" s="8">
        <v>1.29</v>
      </c>
      <c r="I33" s="12">
        <v>0</v>
      </c>
    </row>
    <row r="34" spans="2:9" ht="15" customHeight="1" x14ac:dyDescent="0.2">
      <c r="B34" t="s">
        <v>98</v>
      </c>
      <c r="C34" s="12">
        <v>45</v>
      </c>
      <c r="D34" s="8">
        <v>3.54</v>
      </c>
      <c r="E34" s="12">
        <v>9</v>
      </c>
      <c r="F34" s="8">
        <v>1.58</v>
      </c>
      <c r="G34" s="12">
        <v>36</v>
      </c>
      <c r="H34" s="8">
        <v>5.16</v>
      </c>
      <c r="I34" s="12">
        <v>0</v>
      </c>
    </row>
    <row r="35" spans="2:9" ht="15" customHeight="1" x14ac:dyDescent="0.2">
      <c r="B35" t="s">
        <v>109</v>
      </c>
      <c r="C35" s="12">
        <v>39</v>
      </c>
      <c r="D35" s="8">
        <v>3.07</v>
      </c>
      <c r="E35" s="12">
        <v>19</v>
      </c>
      <c r="F35" s="8">
        <v>3.33</v>
      </c>
      <c r="G35" s="12">
        <v>20</v>
      </c>
      <c r="H35" s="8">
        <v>2.87</v>
      </c>
      <c r="I35" s="12">
        <v>0</v>
      </c>
    </row>
    <row r="36" spans="2:9" ht="15" customHeight="1" x14ac:dyDescent="0.2">
      <c r="B36" t="s">
        <v>97</v>
      </c>
      <c r="C36" s="12">
        <v>38</v>
      </c>
      <c r="D36" s="8">
        <v>2.99</v>
      </c>
      <c r="E36" s="12">
        <v>9</v>
      </c>
      <c r="F36" s="8">
        <v>1.58</v>
      </c>
      <c r="G36" s="12">
        <v>29</v>
      </c>
      <c r="H36" s="8">
        <v>4.16</v>
      </c>
      <c r="I36" s="12">
        <v>0</v>
      </c>
    </row>
    <row r="37" spans="2:9" ht="15" customHeight="1" x14ac:dyDescent="0.2">
      <c r="B37" t="s">
        <v>108</v>
      </c>
      <c r="C37" s="12">
        <v>33</v>
      </c>
      <c r="D37" s="8">
        <v>2.59</v>
      </c>
      <c r="E37" s="12">
        <v>21</v>
      </c>
      <c r="F37" s="8">
        <v>3.68</v>
      </c>
      <c r="G37" s="12">
        <v>12</v>
      </c>
      <c r="H37" s="8">
        <v>1.72</v>
      </c>
      <c r="I37" s="12">
        <v>0</v>
      </c>
    </row>
    <row r="38" spans="2:9" ht="15" customHeight="1" x14ac:dyDescent="0.2">
      <c r="B38" t="s">
        <v>124</v>
      </c>
      <c r="C38" s="12">
        <v>21</v>
      </c>
      <c r="D38" s="8">
        <v>1.65</v>
      </c>
      <c r="E38" s="12">
        <v>6</v>
      </c>
      <c r="F38" s="8">
        <v>1.05</v>
      </c>
      <c r="G38" s="12">
        <v>15</v>
      </c>
      <c r="H38" s="8">
        <v>2.15</v>
      </c>
      <c r="I38" s="12">
        <v>0</v>
      </c>
    </row>
    <row r="39" spans="2:9" ht="15" customHeight="1" x14ac:dyDescent="0.2">
      <c r="B39" t="s">
        <v>99</v>
      </c>
      <c r="C39" s="12">
        <v>21</v>
      </c>
      <c r="D39" s="8">
        <v>1.65</v>
      </c>
      <c r="E39" s="12">
        <v>7</v>
      </c>
      <c r="F39" s="8">
        <v>1.23</v>
      </c>
      <c r="G39" s="12">
        <v>14</v>
      </c>
      <c r="H39" s="8">
        <v>2.0099999999999998</v>
      </c>
      <c r="I39" s="12">
        <v>0</v>
      </c>
    </row>
    <row r="40" spans="2:9" ht="15" customHeight="1" x14ac:dyDescent="0.2">
      <c r="B40" t="s">
        <v>116</v>
      </c>
      <c r="C40" s="12">
        <v>20</v>
      </c>
      <c r="D40" s="8">
        <v>1.57</v>
      </c>
      <c r="E40" s="12">
        <v>1</v>
      </c>
      <c r="F40" s="8">
        <v>0.18</v>
      </c>
      <c r="G40" s="12">
        <v>18</v>
      </c>
      <c r="H40" s="8">
        <v>2.58</v>
      </c>
      <c r="I40" s="12">
        <v>0</v>
      </c>
    </row>
    <row r="41" spans="2:9" ht="15" customHeight="1" x14ac:dyDescent="0.2">
      <c r="B41" t="s">
        <v>100</v>
      </c>
      <c r="C41" s="12">
        <v>19</v>
      </c>
      <c r="D41" s="8">
        <v>1.49</v>
      </c>
      <c r="E41" s="12">
        <v>2</v>
      </c>
      <c r="F41" s="8">
        <v>0.35</v>
      </c>
      <c r="G41" s="12">
        <v>17</v>
      </c>
      <c r="H41" s="8">
        <v>2.44</v>
      </c>
      <c r="I41" s="12">
        <v>0</v>
      </c>
    </row>
    <row r="42" spans="2:9" ht="15" customHeight="1" x14ac:dyDescent="0.2">
      <c r="B42" t="s">
        <v>102</v>
      </c>
      <c r="C42" s="12">
        <v>19</v>
      </c>
      <c r="D42" s="8">
        <v>1.49</v>
      </c>
      <c r="E42" s="12">
        <v>15</v>
      </c>
      <c r="F42" s="8">
        <v>2.63</v>
      </c>
      <c r="G42" s="12">
        <v>4</v>
      </c>
      <c r="H42" s="8">
        <v>0.56999999999999995</v>
      </c>
      <c r="I42" s="12">
        <v>0</v>
      </c>
    </row>
    <row r="43" spans="2:9" ht="15" customHeight="1" x14ac:dyDescent="0.2">
      <c r="B43" t="s">
        <v>103</v>
      </c>
      <c r="C43" s="12">
        <v>18</v>
      </c>
      <c r="D43" s="8">
        <v>1.42</v>
      </c>
      <c r="E43" s="12">
        <v>10</v>
      </c>
      <c r="F43" s="8">
        <v>1.75</v>
      </c>
      <c r="G43" s="12">
        <v>8</v>
      </c>
      <c r="H43" s="8">
        <v>1.1499999999999999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80</v>
      </c>
      <c r="D47" s="8">
        <v>6.29</v>
      </c>
      <c r="E47" s="12">
        <v>46</v>
      </c>
      <c r="F47" s="8">
        <v>8.07</v>
      </c>
      <c r="G47" s="12">
        <v>34</v>
      </c>
      <c r="H47" s="8">
        <v>4.88</v>
      </c>
      <c r="I47" s="12">
        <v>0</v>
      </c>
    </row>
    <row r="48" spans="2:9" ht="15" customHeight="1" x14ac:dyDescent="0.2">
      <c r="B48" t="s">
        <v>168</v>
      </c>
      <c r="C48" s="12">
        <v>48</v>
      </c>
      <c r="D48" s="8">
        <v>3.77</v>
      </c>
      <c r="E48" s="12">
        <v>41</v>
      </c>
      <c r="F48" s="8">
        <v>7.19</v>
      </c>
      <c r="G48" s="12">
        <v>7</v>
      </c>
      <c r="H48" s="8">
        <v>1</v>
      </c>
      <c r="I48" s="12">
        <v>0</v>
      </c>
    </row>
    <row r="49" spans="2:9" ht="15" customHeight="1" x14ac:dyDescent="0.2">
      <c r="B49" t="s">
        <v>170</v>
      </c>
      <c r="C49" s="12">
        <v>40</v>
      </c>
      <c r="D49" s="8">
        <v>3.14</v>
      </c>
      <c r="E49" s="12">
        <v>34</v>
      </c>
      <c r="F49" s="8">
        <v>5.96</v>
      </c>
      <c r="G49" s="12">
        <v>6</v>
      </c>
      <c r="H49" s="8">
        <v>0.86</v>
      </c>
      <c r="I49" s="12">
        <v>0</v>
      </c>
    </row>
    <row r="50" spans="2:9" ht="15" customHeight="1" x14ac:dyDescent="0.2">
      <c r="B50" t="s">
        <v>156</v>
      </c>
      <c r="C50" s="12">
        <v>36</v>
      </c>
      <c r="D50" s="8">
        <v>2.83</v>
      </c>
      <c r="E50" s="12">
        <v>14</v>
      </c>
      <c r="F50" s="8">
        <v>2.46</v>
      </c>
      <c r="G50" s="12">
        <v>22</v>
      </c>
      <c r="H50" s="8">
        <v>3.16</v>
      </c>
      <c r="I50" s="12">
        <v>0</v>
      </c>
    </row>
    <row r="51" spans="2:9" ht="15" customHeight="1" x14ac:dyDescent="0.2">
      <c r="B51" t="s">
        <v>171</v>
      </c>
      <c r="C51" s="12">
        <v>36</v>
      </c>
      <c r="D51" s="8">
        <v>2.83</v>
      </c>
      <c r="E51" s="12">
        <v>30</v>
      </c>
      <c r="F51" s="8">
        <v>5.26</v>
      </c>
      <c r="G51" s="12">
        <v>6</v>
      </c>
      <c r="H51" s="8">
        <v>0.86</v>
      </c>
      <c r="I51" s="12">
        <v>0</v>
      </c>
    </row>
    <row r="52" spans="2:9" ht="15" customHeight="1" x14ac:dyDescent="0.2">
      <c r="B52" t="s">
        <v>165</v>
      </c>
      <c r="C52" s="12">
        <v>34</v>
      </c>
      <c r="D52" s="8">
        <v>2.67</v>
      </c>
      <c r="E52" s="12">
        <v>30</v>
      </c>
      <c r="F52" s="8">
        <v>5.26</v>
      </c>
      <c r="G52" s="12">
        <v>4</v>
      </c>
      <c r="H52" s="8">
        <v>0.56999999999999995</v>
      </c>
      <c r="I52" s="12">
        <v>0</v>
      </c>
    </row>
    <row r="53" spans="2:9" ht="15" customHeight="1" x14ac:dyDescent="0.2">
      <c r="B53" t="s">
        <v>167</v>
      </c>
      <c r="C53" s="12">
        <v>32</v>
      </c>
      <c r="D53" s="8">
        <v>2.52</v>
      </c>
      <c r="E53" s="12">
        <v>26</v>
      </c>
      <c r="F53" s="8">
        <v>4.5599999999999996</v>
      </c>
      <c r="G53" s="12">
        <v>6</v>
      </c>
      <c r="H53" s="8">
        <v>0.86</v>
      </c>
      <c r="I53" s="12">
        <v>0</v>
      </c>
    </row>
    <row r="54" spans="2:9" ht="15" customHeight="1" x14ac:dyDescent="0.2">
      <c r="B54" t="s">
        <v>154</v>
      </c>
      <c r="C54" s="12">
        <v>27</v>
      </c>
      <c r="D54" s="8">
        <v>2.12</v>
      </c>
      <c r="E54" s="12">
        <v>4</v>
      </c>
      <c r="F54" s="8">
        <v>0.7</v>
      </c>
      <c r="G54" s="12">
        <v>22</v>
      </c>
      <c r="H54" s="8">
        <v>3.16</v>
      </c>
      <c r="I54" s="12">
        <v>1</v>
      </c>
    </row>
    <row r="55" spans="2:9" ht="15" customHeight="1" x14ac:dyDescent="0.2">
      <c r="B55" t="s">
        <v>157</v>
      </c>
      <c r="C55" s="12">
        <v>25</v>
      </c>
      <c r="D55" s="8">
        <v>1.97</v>
      </c>
      <c r="E55" s="12">
        <v>11</v>
      </c>
      <c r="F55" s="8">
        <v>1.93</v>
      </c>
      <c r="G55" s="12">
        <v>14</v>
      </c>
      <c r="H55" s="8">
        <v>2.0099999999999998</v>
      </c>
      <c r="I55" s="12">
        <v>0</v>
      </c>
    </row>
    <row r="56" spans="2:9" ht="15" customHeight="1" x14ac:dyDescent="0.2">
      <c r="B56" t="s">
        <v>160</v>
      </c>
      <c r="C56" s="12">
        <v>25</v>
      </c>
      <c r="D56" s="8">
        <v>1.97</v>
      </c>
      <c r="E56" s="12">
        <v>4</v>
      </c>
      <c r="F56" s="8">
        <v>0.7</v>
      </c>
      <c r="G56" s="12">
        <v>21</v>
      </c>
      <c r="H56" s="8">
        <v>3.01</v>
      </c>
      <c r="I56" s="12">
        <v>0</v>
      </c>
    </row>
    <row r="57" spans="2:9" ht="15" customHeight="1" x14ac:dyDescent="0.2">
      <c r="B57" t="s">
        <v>153</v>
      </c>
      <c r="C57" s="12">
        <v>24</v>
      </c>
      <c r="D57" s="8">
        <v>1.89</v>
      </c>
      <c r="E57" s="12">
        <v>4</v>
      </c>
      <c r="F57" s="8">
        <v>0.7</v>
      </c>
      <c r="G57" s="12">
        <v>20</v>
      </c>
      <c r="H57" s="8">
        <v>2.87</v>
      </c>
      <c r="I57" s="12">
        <v>0</v>
      </c>
    </row>
    <row r="58" spans="2:9" ht="15" customHeight="1" x14ac:dyDescent="0.2">
      <c r="B58" t="s">
        <v>166</v>
      </c>
      <c r="C58" s="12">
        <v>21</v>
      </c>
      <c r="D58" s="8">
        <v>1.65</v>
      </c>
      <c r="E58" s="12">
        <v>14</v>
      </c>
      <c r="F58" s="8">
        <v>2.46</v>
      </c>
      <c r="G58" s="12">
        <v>7</v>
      </c>
      <c r="H58" s="8">
        <v>1</v>
      </c>
      <c r="I58" s="12">
        <v>0</v>
      </c>
    </row>
    <row r="59" spans="2:9" ht="15" customHeight="1" x14ac:dyDescent="0.2">
      <c r="B59" t="s">
        <v>152</v>
      </c>
      <c r="C59" s="12">
        <v>20</v>
      </c>
      <c r="D59" s="8">
        <v>1.57</v>
      </c>
      <c r="E59" s="12">
        <v>1</v>
      </c>
      <c r="F59" s="8">
        <v>0.18</v>
      </c>
      <c r="G59" s="12">
        <v>19</v>
      </c>
      <c r="H59" s="8">
        <v>2.73</v>
      </c>
      <c r="I59" s="12">
        <v>0</v>
      </c>
    </row>
    <row r="60" spans="2:9" ht="15" customHeight="1" x14ac:dyDescent="0.2">
      <c r="B60" t="s">
        <v>155</v>
      </c>
      <c r="C60" s="12">
        <v>20</v>
      </c>
      <c r="D60" s="8">
        <v>1.57</v>
      </c>
      <c r="E60" s="12">
        <v>6</v>
      </c>
      <c r="F60" s="8">
        <v>1.05</v>
      </c>
      <c r="G60" s="12">
        <v>14</v>
      </c>
      <c r="H60" s="8">
        <v>2.0099999999999998</v>
      </c>
      <c r="I60" s="12">
        <v>0</v>
      </c>
    </row>
    <row r="61" spans="2:9" ht="15" customHeight="1" x14ac:dyDescent="0.2">
      <c r="B61" t="s">
        <v>158</v>
      </c>
      <c r="C61" s="12">
        <v>20</v>
      </c>
      <c r="D61" s="8">
        <v>1.57</v>
      </c>
      <c r="E61" s="12">
        <v>10</v>
      </c>
      <c r="F61" s="8">
        <v>1.75</v>
      </c>
      <c r="G61" s="12">
        <v>10</v>
      </c>
      <c r="H61" s="8">
        <v>1.43</v>
      </c>
      <c r="I61" s="12">
        <v>0</v>
      </c>
    </row>
    <row r="62" spans="2:9" ht="15" customHeight="1" x14ac:dyDescent="0.2">
      <c r="B62" t="s">
        <v>163</v>
      </c>
      <c r="C62" s="12">
        <v>20</v>
      </c>
      <c r="D62" s="8">
        <v>1.57</v>
      </c>
      <c r="E62" s="12">
        <v>14</v>
      </c>
      <c r="F62" s="8">
        <v>2.46</v>
      </c>
      <c r="G62" s="12">
        <v>6</v>
      </c>
      <c r="H62" s="8">
        <v>0.86</v>
      </c>
      <c r="I62" s="12">
        <v>0</v>
      </c>
    </row>
    <row r="63" spans="2:9" ht="15" customHeight="1" x14ac:dyDescent="0.2">
      <c r="B63" t="s">
        <v>201</v>
      </c>
      <c r="C63" s="12">
        <v>19</v>
      </c>
      <c r="D63" s="8">
        <v>1.49</v>
      </c>
      <c r="E63" s="12">
        <v>4</v>
      </c>
      <c r="F63" s="8">
        <v>0.7</v>
      </c>
      <c r="G63" s="12">
        <v>15</v>
      </c>
      <c r="H63" s="8">
        <v>2.15</v>
      </c>
      <c r="I63" s="12">
        <v>0</v>
      </c>
    </row>
    <row r="64" spans="2:9" ht="15" customHeight="1" x14ac:dyDescent="0.2">
      <c r="B64" t="s">
        <v>202</v>
      </c>
      <c r="C64" s="12">
        <v>18</v>
      </c>
      <c r="D64" s="8">
        <v>1.42</v>
      </c>
      <c r="E64" s="12">
        <v>4</v>
      </c>
      <c r="F64" s="8">
        <v>0.7</v>
      </c>
      <c r="G64" s="12">
        <v>14</v>
      </c>
      <c r="H64" s="8">
        <v>2.0099999999999998</v>
      </c>
      <c r="I64" s="12">
        <v>0</v>
      </c>
    </row>
    <row r="65" spans="2:9" ht="15" customHeight="1" x14ac:dyDescent="0.2">
      <c r="B65" t="s">
        <v>174</v>
      </c>
      <c r="C65" s="12">
        <v>16</v>
      </c>
      <c r="D65" s="8">
        <v>1.26</v>
      </c>
      <c r="E65" s="12">
        <v>1</v>
      </c>
      <c r="F65" s="8">
        <v>0.18</v>
      </c>
      <c r="G65" s="12">
        <v>15</v>
      </c>
      <c r="H65" s="8">
        <v>2.15</v>
      </c>
      <c r="I65" s="12">
        <v>0</v>
      </c>
    </row>
    <row r="66" spans="2:9" ht="15" customHeight="1" x14ac:dyDescent="0.2">
      <c r="B66" t="s">
        <v>184</v>
      </c>
      <c r="C66" s="12">
        <v>15</v>
      </c>
      <c r="D66" s="8">
        <v>1.18</v>
      </c>
      <c r="E66" s="12">
        <v>6</v>
      </c>
      <c r="F66" s="8">
        <v>1.05</v>
      </c>
      <c r="G66" s="12">
        <v>9</v>
      </c>
      <c r="H66" s="8">
        <v>1.29</v>
      </c>
      <c r="I66" s="12">
        <v>0</v>
      </c>
    </row>
    <row r="67" spans="2:9" ht="15" customHeight="1" x14ac:dyDescent="0.2">
      <c r="B67" t="s">
        <v>197</v>
      </c>
      <c r="C67" s="12">
        <v>15</v>
      </c>
      <c r="D67" s="8">
        <v>1.18</v>
      </c>
      <c r="E67" s="12">
        <v>5</v>
      </c>
      <c r="F67" s="8">
        <v>0.88</v>
      </c>
      <c r="G67" s="12">
        <v>10</v>
      </c>
      <c r="H67" s="8">
        <v>1.43</v>
      </c>
      <c r="I67" s="12">
        <v>0</v>
      </c>
    </row>
    <row r="68" spans="2:9" ht="15" customHeight="1" x14ac:dyDescent="0.2">
      <c r="B68" t="s">
        <v>169</v>
      </c>
      <c r="C68" s="12">
        <v>15</v>
      </c>
      <c r="D68" s="8">
        <v>1.18</v>
      </c>
      <c r="E68" s="12">
        <v>13</v>
      </c>
      <c r="F68" s="8">
        <v>2.2799999999999998</v>
      </c>
      <c r="G68" s="12">
        <v>2</v>
      </c>
      <c r="H68" s="8">
        <v>0.28999999999999998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F548F-BF55-4049-BFC1-1DA65704D68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326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219</v>
      </c>
      <c r="D6" s="8">
        <v>15.85</v>
      </c>
      <c r="E6" s="12">
        <v>33</v>
      </c>
      <c r="F6" s="8">
        <v>6.33</v>
      </c>
      <c r="G6" s="12">
        <v>185</v>
      </c>
      <c r="H6" s="8">
        <v>21.64</v>
      </c>
      <c r="I6" s="12">
        <v>1</v>
      </c>
    </row>
    <row r="7" spans="2:9" ht="15" customHeight="1" x14ac:dyDescent="0.2">
      <c r="B7" t="s">
        <v>73</v>
      </c>
      <c r="C7" s="12">
        <v>131</v>
      </c>
      <c r="D7" s="8">
        <v>9.48</v>
      </c>
      <c r="E7" s="12">
        <v>33</v>
      </c>
      <c r="F7" s="8">
        <v>6.33</v>
      </c>
      <c r="G7" s="12">
        <v>98</v>
      </c>
      <c r="H7" s="8">
        <v>11.46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0.22</v>
      </c>
      <c r="E8" s="12">
        <v>0</v>
      </c>
      <c r="F8" s="8">
        <v>0</v>
      </c>
      <c r="G8" s="12">
        <v>2</v>
      </c>
      <c r="H8" s="8">
        <v>0.23</v>
      </c>
      <c r="I8" s="12">
        <v>0</v>
      </c>
    </row>
    <row r="9" spans="2:9" ht="15" customHeight="1" x14ac:dyDescent="0.2">
      <c r="B9" t="s">
        <v>75</v>
      </c>
      <c r="C9" s="12">
        <v>18</v>
      </c>
      <c r="D9" s="8">
        <v>1.3</v>
      </c>
      <c r="E9" s="12">
        <v>0</v>
      </c>
      <c r="F9" s="8">
        <v>0</v>
      </c>
      <c r="G9" s="12">
        <v>18</v>
      </c>
      <c r="H9" s="8">
        <v>2.11</v>
      </c>
      <c r="I9" s="12">
        <v>0</v>
      </c>
    </row>
    <row r="10" spans="2:9" ht="15" customHeight="1" x14ac:dyDescent="0.2">
      <c r="B10" t="s">
        <v>76</v>
      </c>
      <c r="C10" s="12">
        <v>6</v>
      </c>
      <c r="D10" s="8">
        <v>0.43</v>
      </c>
      <c r="E10" s="12">
        <v>2</v>
      </c>
      <c r="F10" s="8">
        <v>0.38</v>
      </c>
      <c r="G10" s="12">
        <v>4</v>
      </c>
      <c r="H10" s="8">
        <v>0.47</v>
      </c>
      <c r="I10" s="12">
        <v>0</v>
      </c>
    </row>
    <row r="11" spans="2:9" ht="15" customHeight="1" x14ac:dyDescent="0.2">
      <c r="B11" t="s">
        <v>77</v>
      </c>
      <c r="C11" s="12">
        <v>281</v>
      </c>
      <c r="D11" s="8">
        <v>20.329999999999998</v>
      </c>
      <c r="E11" s="12">
        <v>85</v>
      </c>
      <c r="F11" s="8">
        <v>16.309999999999999</v>
      </c>
      <c r="G11" s="12">
        <v>196</v>
      </c>
      <c r="H11" s="8">
        <v>22.92</v>
      </c>
      <c r="I11" s="12">
        <v>0</v>
      </c>
    </row>
    <row r="12" spans="2:9" ht="15" customHeight="1" x14ac:dyDescent="0.2">
      <c r="B12" t="s">
        <v>78</v>
      </c>
      <c r="C12" s="12">
        <v>5</v>
      </c>
      <c r="D12" s="8">
        <v>0.36</v>
      </c>
      <c r="E12" s="12">
        <v>1</v>
      </c>
      <c r="F12" s="8">
        <v>0.19</v>
      </c>
      <c r="G12" s="12">
        <v>4</v>
      </c>
      <c r="H12" s="8">
        <v>0.47</v>
      </c>
      <c r="I12" s="12">
        <v>0</v>
      </c>
    </row>
    <row r="13" spans="2:9" ht="15" customHeight="1" x14ac:dyDescent="0.2">
      <c r="B13" t="s">
        <v>79</v>
      </c>
      <c r="C13" s="12">
        <v>168</v>
      </c>
      <c r="D13" s="8">
        <v>12.16</v>
      </c>
      <c r="E13" s="12">
        <v>37</v>
      </c>
      <c r="F13" s="8">
        <v>7.1</v>
      </c>
      <c r="G13" s="12">
        <v>131</v>
      </c>
      <c r="H13" s="8">
        <v>15.32</v>
      </c>
      <c r="I13" s="12">
        <v>0</v>
      </c>
    </row>
    <row r="14" spans="2:9" ht="15" customHeight="1" x14ac:dyDescent="0.2">
      <c r="B14" t="s">
        <v>80</v>
      </c>
      <c r="C14" s="12">
        <v>80</v>
      </c>
      <c r="D14" s="8">
        <v>5.79</v>
      </c>
      <c r="E14" s="12">
        <v>42</v>
      </c>
      <c r="F14" s="8">
        <v>8.06</v>
      </c>
      <c r="G14" s="12">
        <v>37</v>
      </c>
      <c r="H14" s="8">
        <v>4.33</v>
      </c>
      <c r="I14" s="12">
        <v>1</v>
      </c>
    </row>
    <row r="15" spans="2:9" ht="15" customHeight="1" x14ac:dyDescent="0.2">
      <c r="B15" t="s">
        <v>81</v>
      </c>
      <c r="C15" s="12">
        <v>104</v>
      </c>
      <c r="D15" s="8">
        <v>7.53</v>
      </c>
      <c r="E15" s="12">
        <v>73</v>
      </c>
      <c r="F15" s="8">
        <v>14.01</v>
      </c>
      <c r="G15" s="12">
        <v>30</v>
      </c>
      <c r="H15" s="8">
        <v>3.51</v>
      </c>
      <c r="I15" s="12">
        <v>0</v>
      </c>
    </row>
    <row r="16" spans="2:9" ht="15" customHeight="1" x14ac:dyDescent="0.2">
      <c r="B16" t="s">
        <v>82</v>
      </c>
      <c r="C16" s="12">
        <v>158</v>
      </c>
      <c r="D16" s="8">
        <v>11.43</v>
      </c>
      <c r="E16" s="12">
        <v>108</v>
      </c>
      <c r="F16" s="8">
        <v>20.73</v>
      </c>
      <c r="G16" s="12">
        <v>50</v>
      </c>
      <c r="H16" s="8">
        <v>5.85</v>
      </c>
      <c r="I16" s="12">
        <v>0</v>
      </c>
    </row>
    <row r="17" spans="2:9" ht="15" customHeight="1" x14ac:dyDescent="0.2">
      <c r="B17" t="s">
        <v>83</v>
      </c>
      <c r="C17" s="12">
        <v>80</v>
      </c>
      <c r="D17" s="8">
        <v>5.79</v>
      </c>
      <c r="E17" s="12">
        <v>49</v>
      </c>
      <c r="F17" s="8">
        <v>9.4</v>
      </c>
      <c r="G17" s="12">
        <v>30</v>
      </c>
      <c r="H17" s="8">
        <v>3.51</v>
      </c>
      <c r="I17" s="12">
        <v>0</v>
      </c>
    </row>
    <row r="18" spans="2:9" ht="15" customHeight="1" x14ac:dyDescent="0.2">
      <c r="B18" t="s">
        <v>84</v>
      </c>
      <c r="C18" s="12">
        <v>73</v>
      </c>
      <c r="D18" s="8">
        <v>5.28</v>
      </c>
      <c r="E18" s="12">
        <v>45</v>
      </c>
      <c r="F18" s="8">
        <v>8.64</v>
      </c>
      <c r="G18" s="12">
        <v>28</v>
      </c>
      <c r="H18" s="8">
        <v>3.27</v>
      </c>
      <c r="I18" s="12">
        <v>0</v>
      </c>
    </row>
    <row r="19" spans="2:9" ht="15" customHeight="1" x14ac:dyDescent="0.2">
      <c r="B19" t="s">
        <v>85</v>
      </c>
      <c r="C19" s="12">
        <v>56</v>
      </c>
      <c r="D19" s="8">
        <v>4.05</v>
      </c>
      <c r="E19" s="12">
        <v>13</v>
      </c>
      <c r="F19" s="8">
        <v>2.5</v>
      </c>
      <c r="G19" s="12">
        <v>42</v>
      </c>
      <c r="H19" s="8">
        <v>4.91</v>
      </c>
      <c r="I19" s="12">
        <v>0</v>
      </c>
    </row>
    <row r="20" spans="2:9" ht="15" customHeight="1" x14ac:dyDescent="0.2">
      <c r="B20" s="9" t="s">
        <v>277</v>
      </c>
      <c r="C20" s="12">
        <f>SUM(LTBL_23230[総数／事業所数])</f>
        <v>1382</v>
      </c>
      <c r="E20" s="12">
        <f>SUBTOTAL(109,LTBL_23230[個人／事業所数])</f>
        <v>521</v>
      </c>
      <c r="G20" s="12">
        <f>SUBTOTAL(109,LTBL_23230[法人／事業所数])</f>
        <v>855</v>
      </c>
      <c r="I20" s="12">
        <f>SUBTOTAL(109,LTBL_23230[法人以外の団体／事業所数])</f>
        <v>2</v>
      </c>
    </row>
    <row r="21" spans="2:9" ht="15" customHeight="1" x14ac:dyDescent="0.2">
      <c r="E21" s="11">
        <f>LTBL_23230[[#Totals],[個人／事業所数]]/LTBL_23230[[#Totals],[総数／事業所数]]</f>
        <v>0.37698986975397974</v>
      </c>
      <c r="G21" s="11">
        <f>LTBL_23230[[#Totals],[法人／事業所数]]/LTBL_23230[[#Totals],[総数／事業所数]]</f>
        <v>0.61866859623733717</v>
      </c>
      <c r="I21" s="11">
        <f>LTBL_23230[[#Totals],[法人以外の団体／事業所数]]/LTBL_23230[[#Totals],[総数／事業所数]]</f>
        <v>1.4471780028943559E-3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138</v>
      </c>
      <c r="D24" s="8">
        <v>9.99</v>
      </c>
      <c r="E24" s="12">
        <v>35</v>
      </c>
      <c r="F24" s="8">
        <v>6.72</v>
      </c>
      <c r="G24" s="12">
        <v>103</v>
      </c>
      <c r="H24" s="8">
        <v>12.05</v>
      </c>
      <c r="I24" s="12">
        <v>0</v>
      </c>
    </row>
    <row r="25" spans="2:9" ht="15" customHeight="1" x14ac:dyDescent="0.2">
      <c r="B25" t="s">
        <v>111</v>
      </c>
      <c r="C25" s="12">
        <v>135</v>
      </c>
      <c r="D25" s="8">
        <v>9.77</v>
      </c>
      <c r="E25" s="12">
        <v>99</v>
      </c>
      <c r="F25" s="8">
        <v>19</v>
      </c>
      <c r="G25" s="12">
        <v>36</v>
      </c>
      <c r="H25" s="8">
        <v>4.21</v>
      </c>
      <c r="I25" s="12">
        <v>0</v>
      </c>
    </row>
    <row r="26" spans="2:9" ht="15" customHeight="1" x14ac:dyDescent="0.2">
      <c r="B26" t="s">
        <v>94</v>
      </c>
      <c r="C26" s="12">
        <v>96</v>
      </c>
      <c r="D26" s="8">
        <v>6.95</v>
      </c>
      <c r="E26" s="12">
        <v>7</v>
      </c>
      <c r="F26" s="8">
        <v>1.34</v>
      </c>
      <c r="G26" s="12">
        <v>88</v>
      </c>
      <c r="H26" s="8">
        <v>10.29</v>
      </c>
      <c r="I26" s="12">
        <v>1</v>
      </c>
    </row>
    <row r="27" spans="2:9" ht="15" customHeight="1" x14ac:dyDescent="0.2">
      <c r="B27" t="s">
        <v>110</v>
      </c>
      <c r="C27" s="12">
        <v>88</v>
      </c>
      <c r="D27" s="8">
        <v>6.37</v>
      </c>
      <c r="E27" s="12">
        <v>71</v>
      </c>
      <c r="F27" s="8">
        <v>13.63</v>
      </c>
      <c r="G27" s="12">
        <v>17</v>
      </c>
      <c r="H27" s="8">
        <v>1.99</v>
      </c>
      <c r="I27" s="12">
        <v>0</v>
      </c>
    </row>
    <row r="28" spans="2:9" ht="15" customHeight="1" x14ac:dyDescent="0.2">
      <c r="B28" t="s">
        <v>112</v>
      </c>
      <c r="C28" s="12">
        <v>80</v>
      </c>
      <c r="D28" s="8">
        <v>5.79</v>
      </c>
      <c r="E28" s="12">
        <v>49</v>
      </c>
      <c r="F28" s="8">
        <v>9.4</v>
      </c>
      <c r="G28" s="12">
        <v>30</v>
      </c>
      <c r="H28" s="8">
        <v>3.51</v>
      </c>
      <c r="I28" s="12">
        <v>0</v>
      </c>
    </row>
    <row r="29" spans="2:9" ht="15" customHeight="1" x14ac:dyDescent="0.2">
      <c r="B29" t="s">
        <v>95</v>
      </c>
      <c r="C29" s="12">
        <v>74</v>
      </c>
      <c r="D29" s="8">
        <v>5.35</v>
      </c>
      <c r="E29" s="12">
        <v>18</v>
      </c>
      <c r="F29" s="8">
        <v>3.45</v>
      </c>
      <c r="G29" s="12">
        <v>56</v>
      </c>
      <c r="H29" s="8">
        <v>6.55</v>
      </c>
      <c r="I29" s="12">
        <v>0</v>
      </c>
    </row>
    <row r="30" spans="2:9" ht="15" customHeight="1" x14ac:dyDescent="0.2">
      <c r="B30" t="s">
        <v>105</v>
      </c>
      <c r="C30" s="12">
        <v>67</v>
      </c>
      <c r="D30" s="8">
        <v>4.8499999999999996</v>
      </c>
      <c r="E30" s="12">
        <v>26</v>
      </c>
      <c r="F30" s="8">
        <v>4.99</v>
      </c>
      <c r="G30" s="12">
        <v>41</v>
      </c>
      <c r="H30" s="8">
        <v>4.8</v>
      </c>
      <c r="I30" s="12">
        <v>0</v>
      </c>
    </row>
    <row r="31" spans="2:9" ht="15" customHeight="1" x14ac:dyDescent="0.2">
      <c r="B31" t="s">
        <v>104</v>
      </c>
      <c r="C31" s="12">
        <v>51</v>
      </c>
      <c r="D31" s="8">
        <v>3.69</v>
      </c>
      <c r="E31" s="12">
        <v>19</v>
      </c>
      <c r="F31" s="8">
        <v>3.65</v>
      </c>
      <c r="G31" s="12">
        <v>32</v>
      </c>
      <c r="H31" s="8">
        <v>3.74</v>
      </c>
      <c r="I31" s="12">
        <v>0</v>
      </c>
    </row>
    <row r="32" spans="2:9" ht="15" customHeight="1" x14ac:dyDescent="0.2">
      <c r="B32" t="s">
        <v>113</v>
      </c>
      <c r="C32" s="12">
        <v>51</v>
      </c>
      <c r="D32" s="8">
        <v>3.69</v>
      </c>
      <c r="E32" s="12">
        <v>44</v>
      </c>
      <c r="F32" s="8">
        <v>8.4499999999999993</v>
      </c>
      <c r="G32" s="12">
        <v>7</v>
      </c>
      <c r="H32" s="8">
        <v>0.82</v>
      </c>
      <c r="I32" s="12">
        <v>0</v>
      </c>
    </row>
    <row r="33" spans="2:9" ht="15" customHeight="1" x14ac:dyDescent="0.2">
      <c r="B33" t="s">
        <v>108</v>
      </c>
      <c r="C33" s="12">
        <v>50</v>
      </c>
      <c r="D33" s="8">
        <v>3.62</v>
      </c>
      <c r="E33" s="12">
        <v>24</v>
      </c>
      <c r="F33" s="8">
        <v>4.6100000000000003</v>
      </c>
      <c r="G33" s="12">
        <v>25</v>
      </c>
      <c r="H33" s="8">
        <v>2.92</v>
      </c>
      <c r="I33" s="12">
        <v>1</v>
      </c>
    </row>
    <row r="34" spans="2:9" ht="15" customHeight="1" x14ac:dyDescent="0.2">
      <c r="B34" t="s">
        <v>96</v>
      </c>
      <c r="C34" s="12">
        <v>49</v>
      </c>
      <c r="D34" s="8">
        <v>3.55</v>
      </c>
      <c r="E34" s="12">
        <v>8</v>
      </c>
      <c r="F34" s="8">
        <v>1.54</v>
      </c>
      <c r="G34" s="12">
        <v>41</v>
      </c>
      <c r="H34" s="8">
        <v>4.8</v>
      </c>
      <c r="I34" s="12">
        <v>0</v>
      </c>
    </row>
    <row r="35" spans="2:9" ht="15" customHeight="1" x14ac:dyDescent="0.2">
      <c r="B35" t="s">
        <v>102</v>
      </c>
      <c r="C35" s="12">
        <v>39</v>
      </c>
      <c r="D35" s="8">
        <v>2.82</v>
      </c>
      <c r="E35" s="12">
        <v>10</v>
      </c>
      <c r="F35" s="8">
        <v>1.92</v>
      </c>
      <c r="G35" s="12">
        <v>29</v>
      </c>
      <c r="H35" s="8">
        <v>3.39</v>
      </c>
      <c r="I35" s="12">
        <v>0</v>
      </c>
    </row>
    <row r="36" spans="2:9" ht="15" customHeight="1" x14ac:dyDescent="0.2">
      <c r="B36" t="s">
        <v>103</v>
      </c>
      <c r="C36" s="12">
        <v>30</v>
      </c>
      <c r="D36" s="8">
        <v>2.17</v>
      </c>
      <c r="E36" s="12">
        <v>14</v>
      </c>
      <c r="F36" s="8">
        <v>2.69</v>
      </c>
      <c r="G36" s="12">
        <v>16</v>
      </c>
      <c r="H36" s="8">
        <v>1.87</v>
      </c>
      <c r="I36" s="12">
        <v>0</v>
      </c>
    </row>
    <row r="37" spans="2:9" ht="15" customHeight="1" x14ac:dyDescent="0.2">
      <c r="B37" t="s">
        <v>109</v>
      </c>
      <c r="C37" s="12">
        <v>30</v>
      </c>
      <c r="D37" s="8">
        <v>2.17</v>
      </c>
      <c r="E37" s="12">
        <v>18</v>
      </c>
      <c r="F37" s="8">
        <v>3.45</v>
      </c>
      <c r="G37" s="12">
        <v>12</v>
      </c>
      <c r="H37" s="8">
        <v>1.4</v>
      </c>
      <c r="I37" s="12">
        <v>0</v>
      </c>
    </row>
    <row r="38" spans="2:9" ht="15" customHeight="1" x14ac:dyDescent="0.2">
      <c r="B38" t="s">
        <v>101</v>
      </c>
      <c r="C38" s="12">
        <v>27</v>
      </c>
      <c r="D38" s="8">
        <v>1.95</v>
      </c>
      <c r="E38" s="12">
        <v>7</v>
      </c>
      <c r="F38" s="8">
        <v>1.34</v>
      </c>
      <c r="G38" s="12">
        <v>20</v>
      </c>
      <c r="H38" s="8">
        <v>2.34</v>
      </c>
      <c r="I38" s="12">
        <v>0</v>
      </c>
    </row>
    <row r="39" spans="2:9" ht="15" customHeight="1" x14ac:dyDescent="0.2">
      <c r="B39" t="s">
        <v>106</v>
      </c>
      <c r="C39" s="12">
        <v>24</v>
      </c>
      <c r="D39" s="8">
        <v>1.74</v>
      </c>
      <c r="E39" s="12">
        <v>2</v>
      </c>
      <c r="F39" s="8">
        <v>0.38</v>
      </c>
      <c r="G39" s="12">
        <v>22</v>
      </c>
      <c r="H39" s="8">
        <v>2.57</v>
      </c>
      <c r="I39" s="12">
        <v>0</v>
      </c>
    </row>
    <row r="40" spans="2:9" ht="15" customHeight="1" x14ac:dyDescent="0.2">
      <c r="B40" t="s">
        <v>116</v>
      </c>
      <c r="C40" s="12">
        <v>22</v>
      </c>
      <c r="D40" s="8">
        <v>1.59</v>
      </c>
      <c r="E40" s="12">
        <v>1</v>
      </c>
      <c r="F40" s="8">
        <v>0.19</v>
      </c>
      <c r="G40" s="12">
        <v>21</v>
      </c>
      <c r="H40" s="8">
        <v>2.46</v>
      </c>
      <c r="I40" s="12">
        <v>0</v>
      </c>
    </row>
    <row r="41" spans="2:9" ht="15" customHeight="1" x14ac:dyDescent="0.2">
      <c r="B41" t="s">
        <v>99</v>
      </c>
      <c r="C41" s="12">
        <v>20</v>
      </c>
      <c r="D41" s="8">
        <v>1.45</v>
      </c>
      <c r="E41" s="12">
        <v>2</v>
      </c>
      <c r="F41" s="8">
        <v>0.38</v>
      </c>
      <c r="G41" s="12">
        <v>18</v>
      </c>
      <c r="H41" s="8">
        <v>2.11</v>
      </c>
      <c r="I41" s="12">
        <v>0</v>
      </c>
    </row>
    <row r="42" spans="2:9" ht="15" customHeight="1" x14ac:dyDescent="0.2">
      <c r="B42" t="s">
        <v>115</v>
      </c>
      <c r="C42" s="12">
        <v>19</v>
      </c>
      <c r="D42" s="8">
        <v>1.37</v>
      </c>
      <c r="E42" s="12">
        <v>9</v>
      </c>
      <c r="F42" s="8">
        <v>1.73</v>
      </c>
      <c r="G42" s="12">
        <v>10</v>
      </c>
      <c r="H42" s="8">
        <v>1.17</v>
      </c>
      <c r="I42" s="12">
        <v>0</v>
      </c>
    </row>
    <row r="43" spans="2:9" ht="15" customHeight="1" x14ac:dyDescent="0.2">
      <c r="B43" t="s">
        <v>122</v>
      </c>
      <c r="C43" s="12">
        <v>19</v>
      </c>
      <c r="D43" s="8">
        <v>1.37</v>
      </c>
      <c r="E43" s="12">
        <v>8</v>
      </c>
      <c r="F43" s="8">
        <v>1.54</v>
      </c>
      <c r="G43" s="12">
        <v>11</v>
      </c>
      <c r="H43" s="8">
        <v>1.29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88</v>
      </c>
      <c r="D47" s="8">
        <v>6.37</v>
      </c>
      <c r="E47" s="12">
        <v>29</v>
      </c>
      <c r="F47" s="8">
        <v>5.57</v>
      </c>
      <c r="G47" s="12">
        <v>59</v>
      </c>
      <c r="H47" s="8">
        <v>6.9</v>
      </c>
      <c r="I47" s="12">
        <v>0</v>
      </c>
    </row>
    <row r="48" spans="2:9" ht="15" customHeight="1" x14ac:dyDescent="0.2">
      <c r="B48" t="s">
        <v>168</v>
      </c>
      <c r="C48" s="12">
        <v>77</v>
      </c>
      <c r="D48" s="8">
        <v>5.57</v>
      </c>
      <c r="E48" s="12">
        <v>60</v>
      </c>
      <c r="F48" s="8">
        <v>11.52</v>
      </c>
      <c r="G48" s="12">
        <v>17</v>
      </c>
      <c r="H48" s="8">
        <v>1.99</v>
      </c>
      <c r="I48" s="12">
        <v>0</v>
      </c>
    </row>
    <row r="49" spans="2:9" ht="15" customHeight="1" x14ac:dyDescent="0.2">
      <c r="B49" t="s">
        <v>170</v>
      </c>
      <c r="C49" s="12">
        <v>50</v>
      </c>
      <c r="D49" s="8">
        <v>3.62</v>
      </c>
      <c r="E49" s="12">
        <v>35</v>
      </c>
      <c r="F49" s="8">
        <v>6.72</v>
      </c>
      <c r="G49" s="12">
        <v>15</v>
      </c>
      <c r="H49" s="8">
        <v>1.75</v>
      </c>
      <c r="I49" s="12">
        <v>0</v>
      </c>
    </row>
    <row r="50" spans="2:9" ht="15" customHeight="1" x14ac:dyDescent="0.2">
      <c r="B50" t="s">
        <v>156</v>
      </c>
      <c r="C50" s="12">
        <v>42</v>
      </c>
      <c r="D50" s="8">
        <v>3.04</v>
      </c>
      <c r="E50" s="12">
        <v>16</v>
      </c>
      <c r="F50" s="8">
        <v>3.07</v>
      </c>
      <c r="G50" s="12">
        <v>26</v>
      </c>
      <c r="H50" s="8">
        <v>3.04</v>
      </c>
      <c r="I50" s="12">
        <v>0</v>
      </c>
    </row>
    <row r="51" spans="2:9" ht="15" customHeight="1" x14ac:dyDescent="0.2">
      <c r="B51" t="s">
        <v>171</v>
      </c>
      <c r="C51" s="12">
        <v>36</v>
      </c>
      <c r="D51" s="8">
        <v>2.6</v>
      </c>
      <c r="E51" s="12">
        <v>32</v>
      </c>
      <c r="F51" s="8">
        <v>6.14</v>
      </c>
      <c r="G51" s="12">
        <v>4</v>
      </c>
      <c r="H51" s="8">
        <v>0.47</v>
      </c>
      <c r="I51" s="12">
        <v>0</v>
      </c>
    </row>
    <row r="52" spans="2:9" ht="15" customHeight="1" x14ac:dyDescent="0.2">
      <c r="B52" t="s">
        <v>165</v>
      </c>
      <c r="C52" s="12">
        <v>35</v>
      </c>
      <c r="D52" s="8">
        <v>2.5299999999999998</v>
      </c>
      <c r="E52" s="12">
        <v>31</v>
      </c>
      <c r="F52" s="8">
        <v>5.95</v>
      </c>
      <c r="G52" s="12">
        <v>4</v>
      </c>
      <c r="H52" s="8">
        <v>0.47</v>
      </c>
      <c r="I52" s="12">
        <v>0</v>
      </c>
    </row>
    <row r="53" spans="2:9" ht="15" customHeight="1" x14ac:dyDescent="0.2">
      <c r="B53" t="s">
        <v>153</v>
      </c>
      <c r="C53" s="12">
        <v>28</v>
      </c>
      <c r="D53" s="8">
        <v>2.0299999999999998</v>
      </c>
      <c r="E53" s="12">
        <v>0</v>
      </c>
      <c r="F53" s="8">
        <v>0</v>
      </c>
      <c r="G53" s="12">
        <v>28</v>
      </c>
      <c r="H53" s="8">
        <v>3.27</v>
      </c>
      <c r="I53" s="12">
        <v>0</v>
      </c>
    </row>
    <row r="54" spans="2:9" ht="15" customHeight="1" x14ac:dyDescent="0.2">
      <c r="B54" t="s">
        <v>169</v>
      </c>
      <c r="C54" s="12">
        <v>28</v>
      </c>
      <c r="D54" s="8">
        <v>2.0299999999999998</v>
      </c>
      <c r="E54" s="12">
        <v>14</v>
      </c>
      <c r="F54" s="8">
        <v>2.69</v>
      </c>
      <c r="G54" s="12">
        <v>14</v>
      </c>
      <c r="H54" s="8">
        <v>1.64</v>
      </c>
      <c r="I54" s="12">
        <v>0</v>
      </c>
    </row>
    <row r="55" spans="2:9" ht="15" customHeight="1" x14ac:dyDescent="0.2">
      <c r="B55" t="s">
        <v>167</v>
      </c>
      <c r="C55" s="12">
        <v>25</v>
      </c>
      <c r="D55" s="8">
        <v>1.81</v>
      </c>
      <c r="E55" s="12">
        <v>25</v>
      </c>
      <c r="F55" s="8">
        <v>4.8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152</v>
      </c>
      <c r="C56" s="12">
        <v>24</v>
      </c>
      <c r="D56" s="8">
        <v>1.74</v>
      </c>
      <c r="E56" s="12">
        <v>4</v>
      </c>
      <c r="F56" s="8">
        <v>0.77</v>
      </c>
      <c r="G56" s="12">
        <v>19</v>
      </c>
      <c r="H56" s="8">
        <v>2.2200000000000002</v>
      </c>
      <c r="I56" s="12">
        <v>1</v>
      </c>
    </row>
    <row r="57" spans="2:9" ht="15" customHeight="1" x14ac:dyDescent="0.2">
      <c r="B57" t="s">
        <v>155</v>
      </c>
      <c r="C57" s="12">
        <v>24</v>
      </c>
      <c r="D57" s="8">
        <v>1.74</v>
      </c>
      <c r="E57" s="12">
        <v>5</v>
      </c>
      <c r="F57" s="8">
        <v>0.96</v>
      </c>
      <c r="G57" s="12">
        <v>19</v>
      </c>
      <c r="H57" s="8">
        <v>2.2200000000000002</v>
      </c>
      <c r="I57" s="12">
        <v>0</v>
      </c>
    </row>
    <row r="58" spans="2:9" ht="15" customHeight="1" x14ac:dyDescent="0.2">
      <c r="B58" t="s">
        <v>157</v>
      </c>
      <c r="C58" s="12">
        <v>24</v>
      </c>
      <c r="D58" s="8">
        <v>1.74</v>
      </c>
      <c r="E58" s="12">
        <v>10</v>
      </c>
      <c r="F58" s="8">
        <v>1.92</v>
      </c>
      <c r="G58" s="12">
        <v>14</v>
      </c>
      <c r="H58" s="8">
        <v>1.64</v>
      </c>
      <c r="I58" s="12">
        <v>0</v>
      </c>
    </row>
    <row r="59" spans="2:9" ht="15" customHeight="1" x14ac:dyDescent="0.2">
      <c r="B59" t="s">
        <v>203</v>
      </c>
      <c r="C59" s="12">
        <v>21</v>
      </c>
      <c r="D59" s="8">
        <v>1.52</v>
      </c>
      <c r="E59" s="12">
        <v>0</v>
      </c>
      <c r="F59" s="8">
        <v>0</v>
      </c>
      <c r="G59" s="12">
        <v>21</v>
      </c>
      <c r="H59" s="8">
        <v>2.46</v>
      </c>
      <c r="I59" s="12">
        <v>0</v>
      </c>
    </row>
    <row r="60" spans="2:9" ht="15" customHeight="1" x14ac:dyDescent="0.2">
      <c r="B60" t="s">
        <v>159</v>
      </c>
      <c r="C60" s="12">
        <v>21</v>
      </c>
      <c r="D60" s="8">
        <v>1.52</v>
      </c>
      <c r="E60" s="12">
        <v>2</v>
      </c>
      <c r="F60" s="8">
        <v>0.38</v>
      </c>
      <c r="G60" s="12">
        <v>19</v>
      </c>
      <c r="H60" s="8">
        <v>2.2200000000000002</v>
      </c>
      <c r="I60" s="12">
        <v>0</v>
      </c>
    </row>
    <row r="61" spans="2:9" ht="15" customHeight="1" x14ac:dyDescent="0.2">
      <c r="B61" t="s">
        <v>205</v>
      </c>
      <c r="C61" s="12">
        <v>20</v>
      </c>
      <c r="D61" s="8">
        <v>1.45</v>
      </c>
      <c r="E61" s="12">
        <v>3</v>
      </c>
      <c r="F61" s="8">
        <v>0.57999999999999996</v>
      </c>
      <c r="G61" s="12">
        <v>17</v>
      </c>
      <c r="H61" s="8">
        <v>1.99</v>
      </c>
      <c r="I61" s="12">
        <v>0</v>
      </c>
    </row>
    <row r="62" spans="2:9" ht="15" customHeight="1" x14ac:dyDescent="0.2">
      <c r="B62" t="s">
        <v>160</v>
      </c>
      <c r="C62" s="12">
        <v>20</v>
      </c>
      <c r="D62" s="8">
        <v>1.45</v>
      </c>
      <c r="E62" s="12">
        <v>3</v>
      </c>
      <c r="F62" s="8">
        <v>0.57999999999999996</v>
      </c>
      <c r="G62" s="12">
        <v>17</v>
      </c>
      <c r="H62" s="8">
        <v>1.99</v>
      </c>
      <c r="I62" s="12">
        <v>0</v>
      </c>
    </row>
    <row r="63" spans="2:9" ht="15" customHeight="1" x14ac:dyDescent="0.2">
      <c r="B63" t="s">
        <v>174</v>
      </c>
      <c r="C63" s="12">
        <v>20</v>
      </c>
      <c r="D63" s="8">
        <v>1.45</v>
      </c>
      <c r="E63" s="12">
        <v>0</v>
      </c>
      <c r="F63" s="8">
        <v>0</v>
      </c>
      <c r="G63" s="12">
        <v>20</v>
      </c>
      <c r="H63" s="8">
        <v>2.34</v>
      </c>
      <c r="I63" s="12">
        <v>0</v>
      </c>
    </row>
    <row r="64" spans="2:9" ht="15" customHeight="1" x14ac:dyDescent="0.2">
      <c r="B64" t="s">
        <v>166</v>
      </c>
      <c r="C64" s="12">
        <v>19</v>
      </c>
      <c r="D64" s="8">
        <v>1.37</v>
      </c>
      <c r="E64" s="12">
        <v>8</v>
      </c>
      <c r="F64" s="8">
        <v>1.54</v>
      </c>
      <c r="G64" s="12">
        <v>11</v>
      </c>
      <c r="H64" s="8">
        <v>1.29</v>
      </c>
      <c r="I64" s="12">
        <v>0</v>
      </c>
    </row>
    <row r="65" spans="2:9" ht="15" customHeight="1" x14ac:dyDescent="0.2">
      <c r="B65" t="s">
        <v>188</v>
      </c>
      <c r="C65" s="12">
        <v>19</v>
      </c>
      <c r="D65" s="8">
        <v>1.37</v>
      </c>
      <c r="E65" s="12">
        <v>8</v>
      </c>
      <c r="F65" s="8">
        <v>1.54</v>
      </c>
      <c r="G65" s="12">
        <v>11</v>
      </c>
      <c r="H65" s="8">
        <v>1.29</v>
      </c>
      <c r="I65" s="12">
        <v>0</v>
      </c>
    </row>
    <row r="66" spans="2:9" ht="15" customHeight="1" x14ac:dyDescent="0.2">
      <c r="B66" t="s">
        <v>184</v>
      </c>
      <c r="C66" s="12">
        <v>18</v>
      </c>
      <c r="D66" s="8">
        <v>1.3</v>
      </c>
      <c r="E66" s="12">
        <v>6</v>
      </c>
      <c r="F66" s="8">
        <v>1.1499999999999999</v>
      </c>
      <c r="G66" s="12">
        <v>12</v>
      </c>
      <c r="H66" s="8">
        <v>1.4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78001-5D5B-45C7-8A13-B46D5A3E43D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327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0.2</v>
      </c>
      <c r="I5" s="12">
        <v>0</v>
      </c>
    </row>
    <row r="6" spans="2:9" ht="15" customHeight="1" x14ac:dyDescent="0.2">
      <c r="B6" t="s">
        <v>72</v>
      </c>
      <c r="C6" s="12">
        <v>193</v>
      </c>
      <c r="D6" s="8">
        <v>15.72</v>
      </c>
      <c r="E6" s="12">
        <v>73</v>
      </c>
      <c r="F6" s="8">
        <v>10.44</v>
      </c>
      <c r="G6" s="12">
        <v>120</v>
      </c>
      <c r="H6" s="8">
        <v>24</v>
      </c>
      <c r="I6" s="12">
        <v>0</v>
      </c>
    </row>
    <row r="7" spans="2:9" ht="15" customHeight="1" x14ac:dyDescent="0.2">
      <c r="B7" t="s">
        <v>73</v>
      </c>
      <c r="C7" s="12">
        <v>78</v>
      </c>
      <c r="D7" s="8">
        <v>6.35</v>
      </c>
      <c r="E7" s="12">
        <v>28</v>
      </c>
      <c r="F7" s="8">
        <v>4.01</v>
      </c>
      <c r="G7" s="12">
        <v>50</v>
      </c>
      <c r="H7" s="8">
        <v>10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0.08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0.16</v>
      </c>
      <c r="E9" s="12">
        <v>0</v>
      </c>
      <c r="F9" s="8">
        <v>0</v>
      </c>
      <c r="G9" s="12">
        <v>2</v>
      </c>
      <c r="H9" s="8">
        <v>0.4</v>
      </c>
      <c r="I9" s="12">
        <v>0</v>
      </c>
    </row>
    <row r="10" spans="2:9" ht="15" customHeight="1" x14ac:dyDescent="0.2">
      <c r="B10" t="s">
        <v>76</v>
      </c>
      <c r="C10" s="12">
        <v>12</v>
      </c>
      <c r="D10" s="8">
        <v>0.98</v>
      </c>
      <c r="E10" s="12">
        <v>3</v>
      </c>
      <c r="F10" s="8">
        <v>0.43</v>
      </c>
      <c r="G10" s="12">
        <v>9</v>
      </c>
      <c r="H10" s="8">
        <v>1.8</v>
      </c>
      <c r="I10" s="12">
        <v>0</v>
      </c>
    </row>
    <row r="11" spans="2:9" ht="15" customHeight="1" x14ac:dyDescent="0.2">
      <c r="B11" t="s">
        <v>77</v>
      </c>
      <c r="C11" s="12">
        <v>372</v>
      </c>
      <c r="D11" s="8">
        <v>30.29</v>
      </c>
      <c r="E11" s="12">
        <v>197</v>
      </c>
      <c r="F11" s="8">
        <v>28.18</v>
      </c>
      <c r="G11" s="12">
        <v>175</v>
      </c>
      <c r="H11" s="8">
        <v>35</v>
      </c>
      <c r="I11" s="12">
        <v>0</v>
      </c>
    </row>
    <row r="12" spans="2:9" ht="15" customHeight="1" x14ac:dyDescent="0.2">
      <c r="B12" t="s">
        <v>78</v>
      </c>
      <c r="C12" s="12">
        <v>3</v>
      </c>
      <c r="D12" s="8">
        <v>0.24</v>
      </c>
      <c r="E12" s="12">
        <v>2</v>
      </c>
      <c r="F12" s="8">
        <v>0.28999999999999998</v>
      </c>
      <c r="G12" s="12">
        <v>1</v>
      </c>
      <c r="H12" s="8">
        <v>0.2</v>
      </c>
      <c r="I12" s="12">
        <v>0</v>
      </c>
    </row>
    <row r="13" spans="2:9" ht="15" customHeight="1" x14ac:dyDescent="0.2">
      <c r="B13" t="s">
        <v>79</v>
      </c>
      <c r="C13" s="12">
        <v>36</v>
      </c>
      <c r="D13" s="8">
        <v>2.93</v>
      </c>
      <c r="E13" s="12">
        <v>10</v>
      </c>
      <c r="F13" s="8">
        <v>1.43</v>
      </c>
      <c r="G13" s="12">
        <v>25</v>
      </c>
      <c r="H13" s="8">
        <v>5</v>
      </c>
      <c r="I13" s="12">
        <v>0</v>
      </c>
    </row>
    <row r="14" spans="2:9" ht="15" customHeight="1" x14ac:dyDescent="0.2">
      <c r="B14" t="s">
        <v>80</v>
      </c>
      <c r="C14" s="12">
        <v>35</v>
      </c>
      <c r="D14" s="8">
        <v>2.85</v>
      </c>
      <c r="E14" s="12">
        <v>21</v>
      </c>
      <c r="F14" s="8">
        <v>3</v>
      </c>
      <c r="G14" s="12">
        <v>14</v>
      </c>
      <c r="H14" s="8">
        <v>2.8</v>
      </c>
      <c r="I14" s="12">
        <v>0</v>
      </c>
    </row>
    <row r="15" spans="2:9" ht="15" customHeight="1" x14ac:dyDescent="0.2">
      <c r="B15" t="s">
        <v>81</v>
      </c>
      <c r="C15" s="12">
        <v>188</v>
      </c>
      <c r="D15" s="8">
        <v>15.31</v>
      </c>
      <c r="E15" s="12">
        <v>141</v>
      </c>
      <c r="F15" s="8">
        <v>20.170000000000002</v>
      </c>
      <c r="G15" s="12">
        <v>46</v>
      </c>
      <c r="H15" s="8">
        <v>9.1999999999999993</v>
      </c>
      <c r="I15" s="12">
        <v>0</v>
      </c>
    </row>
    <row r="16" spans="2:9" ht="15" customHeight="1" x14ac:dyDescent="0.2">
      <c r="B16" t="s">
        <v>82</v>
      </c>
      <c r="C16" s="12">
        <v>163</v>
      </c>
      <c r="D16" s="8">
        <v>13.27</v>
      </c>
      <c r="E16" s="12">
        <v>140</v>
      </c>
      <c r="F16" s="8">
        <v>20.03</v>
      </c>
      <c r="G16" s="12">
        <v>22</v>
      </c>
      <c r="H16" s="8">
        <v>4.4000000000000004</v>
      </c>
      <c r="I16" s="12">
        <v>0</v>
      </c>
    </row>
    <row r="17" spans="2:9" ht="15" customHeight="1" x14ac:dyDescent="0.2">
      <c r="B17" t="s">
        <v>83</v>
      </c>
      <c r="C17" s="12">
        <v>43</v>
      </c>
      <c r="D17" s="8">
        <v>3.5</v>
      </c>
      <c r="E17" s="12">
        <v>34</v>
      </c>
      <c r="F17" s="8">
        <v>4.8600000000000003</v>
      </c>
      <c r="G17" s="12">
        <v>6</v>
      </c>
      <c r="H17" s="8">
        <v>1.2</v>
      </c>
      <c r="I17" s="12">
        <v>0</v>
      </c>
    </row>
    <row r="18" spans="2:9" ht="15" customHeight="1" x14ac:dyDescent="0.2">
      <c r="B18" t="s">
        <v>84</v>
      </c>
      <c r="C18" s="12">
        <v>39</v>
      </c>
      <c r="D18" s="8">
        <v>3.18</v>
      </c>
      <c r="E18" s="12">
        <v>32</v>
      </c>
      <c r="F18" s="8">
        <v>4.58</v>
      </c>
      <c r="G18" s="12">
        <v>6</v>
      </c>
      <c r="H18" s="8">
        <v>1.2</v>
      </c>
      <c r="I18" s="12">
        <v>0</v>
      </c>
    </row>
    <row r="19" spans="2:9" ht="15" customHeight="1" x14ac:dyDescent="0.2">
      <c r="B19" t="s">
        <v>85</v>
      </c>
      <c r="C19" s="12">
        <v>62</v>
      </c>
      <c r="D19" s="8">
        <v>5.05</v>
      </c>
      <c r="E19" s="12">
        <v>18</v>
      </c>
      <c r="F19" s="8">
        <v>2.58</v>
      </c>
      <c r="G19" s="12">
        <v>22</v>
      </c>
      <c r="H19" s="8">
        <v>4.4000000000000004</v>
      </c>
      <c r="I19" s="12">
        <v>0</v>
      </c>
    </row>
    <row r="20" spans="2:9" ht="15" customHeight="1" x14ac:dyDescent="0.2">
      <c r="B20" s="9" t="s">
        <v>277</v>
      </c>
      <c r="C20" s="12">
        <f>SUM(LTBL_23231[総数／事業所数])</f>
        <v>1228</v>
      </c>
      <c r="E20" s="12">
        <f>SUBTOTAL(109,LTBL_23231[個人／事業所数])</f>
        <v>699</v>
      </c>
      <c r="G20" s="12">
        <f>SUBTOTAL(109,LTBL_23231[法人／事業所数])</f>
        <v>500</v>
      </c>
      <c r="I20" s="12">
        <f>SUBTOTAL(109,LTBL_23231[法人以外の団体／事業所数])</f>
        <v>0</v>
      </c>
    </row>
    <row r="21" spans="2:9" ht="15" customHeight="1" x14ac:dyDescent="0.2">
      <c r="E21" s="11">
        <f>LTBL_23231[[#Totals],[個人／事業所数]]/LTBL_23231[[#Totals],[総数／事業所数]]</f>
        <v>0.56921824104234531</v>
      </c>
      <c r="G21" s="11">
        <f>LTBL_23231[[#Totals],[法人／事業所数]]/LTBL_23231[[#Totals],[総数／事業所数]]</f>
        <v>0.40716612377850164</v>
      </c>
      <c r="I21" s="11">
        <f>LTBL_23231[[#Totals],[法人以外の団体／事業所数]]/LTBL_23231[[#Totals],[総数／事業所数]]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155</v>
      </c>
      <c r="D24" s="8">
        <v>12.62</v>
      </c>
      <c r="E24" s="12">
        <v>127</v>
      </c>
      <c r="F24" s="8">
        <v>18.170000000000002</v>
      </c>
      <c r="G24" s="12">
        <v>28</v>
      </c>
      <c r="H24" s="8">
        <v>5.6</v>
      </c>
      <c r="I24" s="12">
        <v>0</v>
      </c>
    </row>
    <row r="25" spans="2:9" ht="15" customHeight="1" x14ac:dyDescent="0.2">
      <c r="B25" t="s">
        <v>111</v>
      </c>
      <c r="C25" s="12">
        <v>146</v>
      </c>
      <c r="D25" s="8">
        <v>11.89</v>
      </c>
      <c r="E25" s="12">
        <v>134</v>
      </c>
      <c r="F25" s="8">
        <v>19.170000000000002</v>
      </c>
      <c r="G25" s="12">
        <v>12</v>
      </c>
      <c r="H25" s="8">
        <v>2.4</v>
      </c>
      <c r="I25" s="12">
        <v>0</v>
      </c>
    </row>
    <row r="26" spans="2:9" ht="15" customHeight="1" x14ac:dyDescent="0.2">
      <c r="B26" t="s">
        <v>105</v>
      </c>
      <c r="C26" s="12">
        <v>122</v>
      </c>
      <c r="D26" s="8">
        <v>9.93</v>
      </c>
      <c r="E26" s="12">
        <v>61</v>
      </c>
      <c r="F26" s="8">
        <v>8.73</v>
      </c>
      <c r="G26" s="12">
        <v>61</v>
      </c>
      <c r="H26" s="8">
        <v>12.2</v>
      </c>
      <c r="I26" s="12">
        <v>0</v>
      </c>
    </row>
    <row r="27" spans="2:9" ht="15" customHeight="1" x14ac:dyDescent="0.2">
      <c r="B27" t="s">
        <v>94</v>
      </c>
      <c r="C27" s="12">
        <v>101</v>
      </c>
      <c r="D27" s="8">
        <v>8.2200000000000006</v>
      </c>
      <c r="E27" s="12">
        <v>28</v>
      </c>
      <c r="F27" s="8">
        <v>4.01</v>
      </c>
      <c r="G27" s="12">
        <v>73</v>
      </c>
      <c r="H27" s="8">
        <v>14.6</v>
      </c>
      <c r="I27" s="12">
        <v>0</v>
      </c>
    </row>
    <row r="28" spans="2:9" ht="15" customHeight="1" x14ac:dyDescent="0.2">
      <c r="B28" t="s">
        <v>103</v>
      </c>
      <c r="C28" s="12">
        <v>87</v>
      </c>
      <c r="D28" s="8">
        <v>7.08</v>
      </c>
      <c r="E28" s="12">
        <v>58</v>
      </c>
      <c r="F28" s="8">
        <v>8.3000000000000007</v>
      </c>
      <c r="G28" s="12">
        <v>29</v>
      </c>
      <c r="H28" s="8">
        <v>5.8</v>
      </c>
      <c r="I28" s="12">
        <v>0</v>
      </c>
    </row>
    <row r="29" spans="2:9" ht="15" customHeight="1" x14ac:dyDescent="0.2">
      <c r="B29" t="s">
        <v>95</v>
      </c>
      <c r="C29" s="12">
        <v>60</v>
      </c>
      <c r="D29" s="8">
        <v>4.8899999999999997</v>
      </c>
      <c r="E29" s="12">
        <v>36</v>
      </c>
      <c r="F29" s="8">
        <v>5.15</v>
      </c>
      <c r="G29" s="12">
        <v>24</v>
      </c>
      <c r="H29" s="8">
        <v>4.8</v>
      </c>
      <c r="I29" s="12">
        <v>0</v>
      </c>
    </row>
    <row r="30" spans="2:9" ht="15" customHeight="1" x14ac:dyDescent="0.2">
      <c r="B30" t="s">
        <v>104</v>
      </c>
      <c r="C30" s="12">
        <v>56</v>
      </c>
      <c r="D30" s="8">
        <v>4.5599999999999996</v>
      </c>
      <c r="E30" s="12">
        <v>40</v>
      </c>
      <c r="F30" s="8">
        <v>5.72</v>
      </c>
      <c r="G30" s="12">
        <v>16</v>
      </c>
      <c r="H30" s="8">
        <v>3.2</v>
      </c>
      <c r="I30" s="12">
        <v>0</v>
      </c>
    </row>
    <row r="31" spans="2:9" ht="15" customHeight="1" x14ac:dyDescent="0.2">
      <c r="B31" t="s">
        <v>112</v>
      </c>
      <c r="C31" s="12">
        <v>43</v>
      </c>
      <c r="D31" s="8">
        <v>3.5</v>
      </c>
      <c r="E31" s="12">
        <v>34</v>
      </c>
      <c r="F31" s="8">
        <v>4.8600000000000003</v>
      </c>
      <c r="G31" s="12">
        <v>6</v>
      </c>
      <c r="H31" s="8">
        <v>1.2</v>
      </c>
      <c r="I31" s="12">
        <v>0</v>
      </c>
    </row>
    <row r="32" spans="2:9" ht="15" customHeight="1" x14ac:dyDescent="0.2">
      <c r="B32" t="s">
        <v>102</v>
      </c>
      <c r="C32" s="12">
        <v>39</v>
      </c>
      <c r="D32" s="8">
        <v>3.18</v>
      </c>
      <c r="E32" s="12">
        <v>25</v>
      </c>
      <c r="F32" s="8">
        <v>3.58</v>
      </c>
      <c r="G32" s="12">
        <v>14</v>
      </c>
      <c r="H32" s="8">
        <v>2.8</v>
      </c>
      <c r="I32" s="12">
        <v>0</v>
      </c>
    </row>
    <row r="33" spans="2:9" ht="15" customHeight="1" x14ac:dyDescent="0.2">
      <c r="B33" t="s">
        <v>113</v>
      </c>
      <c r="C33" s="12">
        <v>33</v>
      </c>
      <c r="D33" s="8">
        <v>2.69</v>
      </c>
      <c r="E33" s="12">
        <v>31</v>
      </c>
      <c r="F33" s="8">
        <v>4.43</v>
      </c>
      <c r="G33" s="12">
        <v>2</v>
      </c>
      <c r="H33" s="8">
        <v>0.4</v>
      </c>
      <c r="I33" s="12">
        <v>0</v>
      </c>
    </row>
    <row r="34" spans="2:9" ht="15" customHeight="1" x14ac:dyDescent="0.2">
      <c r="B34" t="s">
        <v>96</v>
      </c>
      <c r="C34" s="12">
        <v>32</v>
      </c>
      <c r="D34" s="8">
        <v>2.61</v>
      </c>
      <c r="E34" s="12">
        <v>9</v>
      </c>
      <c r="F34" s="8">
        <v>1.29</v>
      </c>
      <c r="G34" s="12">
        <v>23</v>
      </c>
      <c r="H34" s="8">
        <v>4.5999999999999996</v>
      </c>
      <c r="I34" s="12">
        <v>0</v>
      </c>
    </row>
    <row r="35" spans="2:9" ht="15" customHeight="1" x14ac:dyDescent="0.2">
      <c r="B35" t="s">
        <v>134</v>
      </c>
      <c r="C35" s="12">
        <v>25</v>
      </c>
      <c r="D35" s="8">
        <v>2.04</v>
      </c>
      <c r="E35" s="12">
        <v>8</v>
      </c>
      <c r="F35" s="8">
        <v>1.1399999999999999</v>
      </c>
      <c r="G35" s="12">
        <v>17</v>
      </c>
      <c r="H35" s="8">
        <v>3.4</v>
      </c>
      <c r="I35" s="12">
        <v>0</v>
      </c>
    </row>
    <row r="36" spans="2:9" ht="15" customHeight="1" x14ac:dyDescent="0.2">
      <c r="B36" t="s">
        <v>107</v>
      </c>
      <c r="C36" s="12">
        <v>23</v>
      </c>
      <c r="D36" s="8">
        <v>1.87</v>
      </c>
      <c r="E36" s="12">
        <v>6</v>
      </c>
      <c r="F36" s="8">
        <v>0.86</v>
      </c>
      <c r="G36" s="12">
        <v>16</v>
      </c>
      <c r="H36" s="8">
        <v>3.2</v>
      </c>
      <c r="I36" s="12">
        <v>0</v>
      </c>
    </row>
    <row r="37" spans="2:9" ht="15" customHeight="1" x14ac:dyDescent="0.2">
      <c r="B37" t="s">
        <v>118</v>
      </c>
      <c r="C37" s="12">
        <v>22</v>
      </c>
      <c r="D37" s="8">
        <v>1.79</v>
      </c>
      <c r="E37" s="12">
        <v>5</v>
      </c>
      <c r="F37" s="8">
        <v>0.72</v>
      </c>
      <c r="G37" s="12">
        <v>17</v>
      </c>
      <c r="H37" s="8">
        <v>3.4</v>
      </c>
      <c r="I37" s="12">
        <v>0</v>
      </c>
    </row>
    <row r="38" spans="2:9" ht="15" customHeight="1" x14ac:dyDescent="0.2">
      <c r="B38" t="s">
        <v>136</v>
      </c>
      <c r="C38" s="12">
        <v>22</v>
      </c>
      <c r="D38" s="8">
        <v>1.79</v>
      </c>
      <c r="E38" s="12">
        <v>0</v>
      </c>
      <c r="F38" s="8">
        <v>0</v>
      </c>
      <c r="G38" s="12">
        <v>1</v>
      </c>
      <c r="H38" s="8">
        <v>0.2</v>
      </c>
      <c r="I38" s="12">
        <v>0</v>
      </c>
    </row>
    <row r="39" spans="2:9" ht="15" customHeight="1" x14ac:dyDescent="0.2">
      <c r="B39" t="s">
        <v>108</v>
      </c>
      <c r="C39" s="12">
        <v>18</v>
      </c>
      <c r="D39" s="8">
        <v>1.47</v>
      </c>
      <c r="E39" s="12">
        <v>11</v>
      </c>
      <c r="F39" s="8">
        <v>1.57</v>
      </c>
      <c r="G39" s="12">
        <v>7</v>
      </c>
      <c r="H39" s="8">
        <v>1.4</v>
      </c>
      <c r="I39" s="12">
        <v>0</v>
      </c>
    </row>
    <row r="40" spans="2:9" ht="15" customHeight="1" x14ac:dyDescent="0.2">
      <c r="B40" t="s">
        <v>109</v>
      </c>
      <c r="C40" s="12">
        <v>17</v>
      </c>
      <c r="D40" s="8">
        <v>1.38</v>
      </c>
      <c r="E40" s="12">
        <v>10</v>
      </c>
      <c r="F40" s="8">
        <v>1.43</v>
      </c>
      <c r="G40" s="12">
        <v>7</v>
      </c>
      <c r="H40" s="8">
        <v>1.4</v>
      </c>
      <c r="I40" s="12">
        <v>0</v>
      </c>
    </row>
    <row r="41" spans="2:9" ht="15" customHeight="1" x14ac:dyDescent="0.2">
      <c r="B41" t="s">
        <v>122</v>
      </c>
      <c r="C41" s="12">
        <v>17</v>
      </c>
      <c r="D41" s="8">
        <v>1.38</v>
      </c>
      <c r="E41" s="12">
        <v>15</v>
      </c>
      <c r="F41" s="8">
        <v>2.15</v>
      </c>
      <c r="G41" s="12">
        <v>2</v>
      </c>
      <c r="H41" s="8">
        <v>0.4</v>
      </c>
      <c r="I41" s="12">
        <v>0</v>
      </c>
    </row>
    <row r="42" spans="2:9" ht="15" customHeight="1" x14ac:dyDescent="0.2">
      <c r="B42" t="s">
        <v>99</v>
      </c>
      <c r="C42" s="12">
        <v>16</v>
      </c>
      <c r="D42" s="8">
        <v>1.3</v>
      </c>
      <c r="E42" s="12">
        <v>4</v>
      </c>
      <c r="F42" s="8">
        <v>0.56999999999999995</v>
      </c>
      <c r="G42" s="12">
        <v>12</v>
      </c>
      <c r="H42" s="8">
        <v>2.4</v>
      </c>
      <c r="I42" s="12">
        <v>0</v>
      </c>
    </row>
    <row r="43" spans="2:9" ht="15" customHeight="1" x14ac:dyDescent="0.2">
      <c r="B43" t="s">
        <v>128</v>
      </c>
      <c r="C43" s="12">
        <v>14</v>
      </c>
      <c r="D43" s="8">
        <v>1.1399999999999999</v>
      </c>
      <c r="E43" s="12">
        <v>5</v>
      </c>
      <c r="F43" s="8">
        <v>0.72</v>
      </c>
      <c r="G43" s="12">
        <v>9</v>
      </c>
      <c r="H43" s="8">
        <v>1.8</v>
      </c>
      <c r="I43" s="12">
        <v>0</v>
      </c>
    </row>
    <row r="44" spans="2:9" ht="15" customHeight="1" x14ac:dyDescent="0.2">
      <c r="B44" t="s">
        <v>101</v>
      </c>
      <c r="C44" s="12">
        <v>14</v>
      </c>
      <c r="D44" s="8">
        <v>1.1399999999999999</v>
      </c>
      <c r="E44" s="12">
        <v>1</v>
      </c>
      <c r="F44" s="8">
        <v>0.14000000000000001</v>
      </c>
      <c r="G44" s="12">
        <v>13</v>
      </c>
      <c r="H44" s="8">
        <v>2.6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168</v>
      </c>
      <c r="C48" s="12">
        <v>76</v>
      </c>
      <c r="D48" s="8">
        <v>6.19</v>
      </c>
      <c r="E48" s="12">
        <v>70</v>
      </c>
      <c r="F48" s="8">
        <v>10.01</v>
      </c>
      <c r="G48" s="12">
        <v>6</v>
      </c>
      <c r="H48" s="8">
        <v>1.2</v>
      </c>
      <c r="I48" s="12">
        <v>0</v>
      </c>
    </row>
    <row r="49" spans="2:9" ht="15" customHeight="1" x14ac:dyDescent="0.2">
      <c r="B49" t="s">
        <v>167</v>
      </c>
      <c r="C49" s="12">
        <v>48</v>
      </c>
      <c r="D49" s="8">
        <v>3.91</v>
      </c>
      <c r="E49" s="12">
        <v>48</v>
      </c>
      <c r="F49" s="8">
        <v>6.87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165</v>
      </c>
      <c r="C50" s="12">
        <v>40</v>
      </c>
      <c r="D50" s="8">
        <v>3.26</v>
      </c>
      <c r="E50" s="12">
        <v>36</v>
      </c>
      <c r="F50" s="8">
        <v>5.15</v>
      </c>
      <c r="G50" s="12">
        <v>4</v>
      </c>
      <c r="H50" s="8">
        <v>0.8</v>
      </c>
      <c r="I50" s="12">
        <v>0</v>
      </c>
    </row>
    <row r="51" spans="2:9" ht="15" customHeight="1" x14ac:dyDescent="0.2">
      <c r="B51" t="s">
        <v>186</v>
      </c>
      <c r="C51" s="12">
        <v>35</v>
      </c>
      <c r="D51" s="8">
        <v>2.85</v>
      </c>
      <c r="E51" s="12">
        <v>21</v>
      </c>
      <c r="F51" s="8">
        <v>3</v>
      </c>
      <c r="G51" s="12">
        <v>14</v>
      </c>
      <c r="H51" s="8">
        <v>2.8</v>
      </c>
      <c r="I51" s="12">
        <v>0</v>
      </c>
    </row>
    <row r="52" spans="2:9" ht="15" customHeight="1" x14ac:dyDescent="0.2">
      <c r="B52" t="s">
        <v>156</v>
      </c>
      <c r="C52" s="12">
        <v>32</v>
      </c>
      <c r="D52" s="8">
        <v>2.61</v>
      </c>
      <c r="E52" s="12">
        <v>26</v>
      </c>
      <c r="F52" s="8">
        <v>3.72</v>
      </c>
      <c r="G52" s="12">
        <v>6</v>
      </c>
      <c r="H52" s="8">
        <v>1.2</v>
      </c>
      <c r="I52" s="12">
        <v>0</v>
      </c>
    </row>
    <row r="53" spans="2:9" ht="15" customHeight="1" x14ac:dyDescent="0.2">
      <c r="B53" t="s">
        <v>152</v>
      </c>
      <c r="C53" s="12">
        <v>31</v>
      </c>
      <c r="D53" s="8">
        <v>2.52</v>
      </c>
      <c r="E53" s="12">
        <v>7</v>
      </c>
      <c r="F53" s="8">
        <v>1</v>
      </c>
      <c r="G53" s="12">
        <v>24</v>
      </c>
      <c r="H53" s="8">
        <v>4.8</v>
      </c>
      <c r="I53" s="12">
        <v>0</v>
      </c>
    </row>
    <row r="54" spans="2:9" ht="15" customHeight="1" x14ac:dyDescent="0.2">
      <c r="B54" t="s">
        <v>170</v>
      </c>
      <c r="C54" s="12">
        <v>30</v>
      </c>
      <c r="D54" s="8">
        <v>2.44</v>
      </c>
      <c r="E54" s="12">
        <v>26</v>
      </c>
      <c r="F54" s="8">
        <v>3.72</v>
      </c>
      <c r="G54" s="12">
        <v>4</v>
      </c>
      <c r="H54" s="8">
        <v>0.8</v>
      </c>
      <c r="I54" s="12">
        <v>0</v>
      </c>
    </row>
    <row r="55" spans="2:9" ht="15" customHeight="1" x14ac:dyDescent="0.2">
      <c r="B55" t="s">
        <v>153</v>
      </c>
      <c r="C55" s="12">
        <v>29</v>
      </c>
      <c r="D55" s="8">
        <v>2.36</v>
      </c>
      <c r="E55" s="12">
        <v>10</v>
      </c>
      <c r="F55" s="8">
        <v>1.43</v>
      </c>
      <c r="G55" s="12">
        <v>19</v>
      </c>
      <c r="H55" s="8">
        <v>3.8</v>
      </c>
      <c r="I55" s="12">
        <v>0</v>
      </c>
    </row>
    <row r="56" spans="2:9" ht="15" customHeight="1" x14ac:dyDescent="0.2">
      <c r="B56" t="s">
        <v>205</v>
      </c>
      <c r="C56" s="12">
        <v>28</v>
      </c>
      <c r="D56" s="8">
        <v>2.2799999999999998</v>
      </c>
      <c r="E56" s="12">
        <v>10</v>
      </c>
      <c r="F56" s="8">
        <v>1.43</v>
      </c>
      <c r="G56" s="12">
        <v>18</v>
      </c>
      <c r="H56" s="8">
        <v>3.6</v>
      </c>
      <c r="I56" s="12">
        <v>0</v>
      </c>
    </row>
    <row r="57" spans="2:9" ht="15" customHeight="1" x14ac:dyDescent="0.2">
      <c r="B57" t="s">
        <v>163</v>
      </c>
      <c r="C57" s="12">
        <v>28</v>
      </c>
      <c r="D57" s="8">
        <v>2.2799999999999998</v>
      </c>
      <c r="E57" s="12">
        <v>23</v>
      </c>
      <c r="F57" s="8">
        <v>3.29</v>
      </c>
      <c r="G57" s="12">
        <v>5</v>
      </c>
      <c r="H57" s="8">
        <v>1</v>
      </c>
      <c r="I57" s="12">
        <v>0</v>
      </c>
    </row>
    <row r="58" spans="2:9" ht="15" customHeight="1" x14ac:dyDescent="0.2">
      <c r="B58" t="s">
        <v>164</v>
      </c>
      <c r="C58" s="12">
        <v>28</v>
      </c>
      <c r="D58" s="8">
        <v>2.2799999999999998</v>
      </c>
      <c r="E58" s="12">
        <v>23</v>
      </c>
      <c r="F58" s="8">
        <v>3.29</v>
      </c>
      <c r="G58" s="12">
        <v>5</v>
      </c>
      <c r="H58" s="8">
        <v>1</v>
      </c>
      <c r="I58" s="12">
        <v>0</v>
      </c>
    </row>
    <row r="59" spans="2:9" ht="15" customHeight="1" x14ac:dyDescent="0.2">
      <c r="B59" t="s">
        <v>218</v>
      </c>
      <c r="C59" s="12">
        <v>25</v>
      </c>
      <c r="D59" s="8">
        <v>2.04</v>
      </c>
      <c r="E59" s="12">
        <v>8</v>
      </c>
      <c r="F59" s="8">
        <v>1.1399999999999999</v>
      </c>
      <c r="G59" s="12">
        <v>17</v>
      </c>
      <c r="H59" s="8">
        <v>3.4</v>
      </c>
      <c r="I59" s="12">
        <v>0</v>
      </c>
    </row>
    <row r="60" spans="2:9" ht="15" customHeight="1" x14ac:dyDescent="0.2">
      <c r="B60" t="s">
        <v>171</v>
      </c>
      <c r="C60" s="12">
        <v>24</v>
      </c>
      <c r="D60" s="8">
        <v>1.95</v>
      </c>
      <c r="E60" s="12">
        <v>23</v>
      </c>
      <c r="F60" s="8">
        <v>3.29</v>
      </c>
      <c r="G60" s="12">
        <v>1</v>
      </c>
      <c r="H60" s="8">
        <v>0.2</v>
      </c>
      <c r="I60" s="12">
        <v>0</v>
      </c>
    </row>
    <row r="61" spans="2:9" ht="15" customHeight="1" x14ac:dyDescent="0.2">
      <c r="B61" t="s">
        <v>198</v>
      </c>
      <c r="C61" s="12">
        <v>22</v>
      </c>
      <c r="D61" s="8">
        <v>1.79</v>
      </c>
      <c r="E61" s="12">
        <v>12</v>
      </c>
      <c r="F61" s="8">
        <v>1.72</v>
      </c>
      <c r="G61" s="12">
        <v>10</v>
      </c>
      <c r="H61" s="8">
        <v>2</v>
      </c>
      <c r="I61" s="12">
        <v>0</v>
      </c>
    </row>
    <row r="62" spans="2:9" ht="15" customHeight="1" x14ac:dyDescent="0.2">
      <c r="B62" t="s">
        <v>210</v>
      </c>
      <c r="C62" s="12">
        <v>21</v>
      </c>
      <c r="D62" s="8">
        <v>1.71</v>
      </c>
      <c r="E62" s="12">
        <v>15</v>
      </c>
      <c r="F62" s="8">
        <v>2.15</v>
      </c>
      <c r="G62" s="12">
        <v>6</v>
      </c>
      <c r="H62" s="8">
        <v>1.2</v>
      </c>
      <c r="I62" s="12">
        <v>0</v>
      </c>
    </row>
    <row r="63" spans="2:9" ht="15" customHeight="1" x14ac:dyDescent="0.2">
      <c r="B63" t="s">
        <v>222</v>
      </c>
      <c r="C63" s="12">
        <v>21</v>
      </c>
      <c r="D63" s="8">
        <v>1.71</v>
      </c>
      <c r="E63" s="12">
        <v>15</v>
      </c>
      <c r="F63" s="8">
        <v>2.15</v>
      </c>
      <c r="G63" s="12">
        <v>6</v>
      </c>
      <c r="H63" s="8">
        <v>1.2</v>
      </c>
      <c r="I63" s="12">
        <v>0</v>
      </c>
    </row>
    <row r="64" spans="2:9" ht="15" customHeight="1" x14ac:dyDescent="0.2">
      <c r="B64" t="s">
        <v>223</v>
      </c>
      <c r="C64" s="12">
        <v>21</v>
      </c>
      <c r="D64" s="8">
        <v>1.71</v>
      </c>
      <c r="E64" s="12">
        <v>0</v>
      </c>
      <c r="F64" s="8">
        <v>0</v>
      </c>
      <c r="G64" s="12">
        <v>1</v>
      </c>
      <c r="H64" s="8">
        <v>0.2</v>
      </c>
      <c r="I64" s="12">
        <v>0</v>
      </c>
    </row>
    <row r="65" spans="2:9" ht="15" customHeight="1" x14ac:dyDescent="0.2">
      <c r="B65" t="s">
        <v>158</v>
      </c>
      <c r="C65" s="12">
        <v>20</v>
      </c>
      <c r="D65" s="8">
        <v>1.63</v>
      </c>
      <c r="E65" s="12">
        <v>14</v>
      </c>
      <c r="F65" s="8">
        <v>2</v>
      </c>
      <c r="G65" s="12">
        <v>6</v>
      </c>
      <c r="H65" s="8">
        <v>1.2</v>
      </c>
      <c r="I65" s="12">
        <v>0</v>
      </c>
    </row>
    <row r="66" spans="2:9" ht="15" customHeight="1" x14ac:dyDescent="0.2">
      <c r="B66" t="s">
        <v>191</v>
      </c>
      <c r="C66" s="12">
        <v>18</v>
      </c>
      <c r="D66" s="8">
        <v>1.47</v>
      </c>
      <c r="E66" s="12">
        <v>11</v>
      </c>
      <c r="F66" s="8">
        <v>1.57</v>
      </c>
      <c r="G66" s="12">
        <v>7</v>
      </c>
      <c r="H66" s="8">
        <v>1.4</v>
      </c>
      <c r="I66" s="12">
        <v>0</v>
      </c>
    </row>
    <row r="67" spans="2:9" ht="15" customHeight="1" x14ac:dyDescent="0.2">
      <c r="B67" t="s">
        <v>157</v>
      </c>
      <c r="C67" s="12">
        <v>18</v>
      </c>
      <c r="D67" s="8">
        <v>1.47</v>
      </c>
      <c r="E67" s="12">
        <v>8</v>
      </c>
      <c r="F67" s="8">
        <v>1.1399999999999999</v>
      </c>
      <c r="G67" s="12">
        <v>10</v>
      </c>
      <c r="H67" s="8">
        <v>2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DE2F-65E7-41B0-8D12-4BA15A8DC05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328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2</v>
      </c>
      <c r="D5" s="8">
        <v>0.17</v>
      </c>
      <c r="E5" s="12">
        <v>0</v>
      </c>
      <c r="F5" s="8">
        <v>0</v>
      </c>
      <c r="G5" s="12">
        <v>2</v>
      </c>
      <c r="H5" s="8">
        <v>0.36</v>
      </c>
      <c r="I5" s="12">
        <v>0</v>
      </c>
    </row>
    <row r="6" spans="2:9" ht="15" customHeight="1" x14ac:dyDescent="0.2">
      <c r="B6" t="s">
        <v>72</v>
      </c>
      <c r="C6" s="12">
        <v>214</v>
      </c>
      <c r="D6" s="8">
        <v>17.91</v>
      </c>
      <c r="E6" s="12">
        <v>79</v>
      </c>
      <c r="F6" s="8">
        <v>12.38</v>
      </c>
      <c r="G6" s="12">
        <v>135</v>
      </c>
      <c r="H6" s="8">
        <v>24.41</v>
      </c>
      <c r="I6" s="12">
        <v>0</v>
      </c>
    </row>
    <row r="7" spans="2:9" ht="15" customHeight="1" x14ac:dyDescent="0.2">
      <c r="B7" t="s">
        <v>73</v>
      </c>
      <c r="C7" s="12">
        <v>238</v>
      </c>
      <c r="D7" s="8">
        <v>19.920000000000002</v>
      </c>
      <c r="E7" s="12">
        <v>109</v>
      </c>
      <c r="F7" s="8">
        <v>17.079999999999998</v>
      </c>
      <c r="G7" s="12">
        <v>129</v>
      </c>
      <c r="H7" s="8">
        <v>23.33</v>
      </c>
      <c r="I7" s="12">
        <v>0</v>
      </c>
    </row>
    <row r="8" spans="2:9" ht="15" customHeight="1" x14ac:dyDescent="0.2">
      <c r="B8" t="s">
        <v>74</v>
      </c>
      <c r="C8" s="12">
        <v>5</v>
      </c>
      <c r="D8" s="8">
        <v>0.42</v>
      </c>
      <c r="E8" s="12">
        <v>1</v>
      </c>
      <c r="F8" s="8">
        <v>0.16</v>
      </c>
      <c r="G8" s="12">
        <v>4</v>
      </c>
      <c r="H8" s="8">
        <v>0.72</v>
      </c>
      <c r="I8" s="12">
        <v>0</v>
      </c>
    </row>
    <row r="9" spans="2:9" ht="15" customHeight="1" x14ac:dyDescent="0.2">
      <c r="B9" t="s">
        <v>75</v>
      </c>
      <c r="C9" s="12">
        <v>6</v>
      </c>
      <c r="D9" s="8">
        <v>0.5</v>
      </c>
      <c r="E9" s="12">
        <v>0</v>
      </c>
      <c r="F9" s="8">
        <v>0</v>
      </c>
      <c r="G9" s="12">
        <v>6</v>
      </c>
      <c r="H9" s="8">
        <v>1.08</v>
      </c>
      <c r="I9" s="12">
        <v>0</v>
      </c>
    </row>
    <row r="10" spans="2:9" ht="15" customHeight="1" x14ac:dyDescent="0.2">
      <c r="B10" t="s">
        <v>76</v>
      </c>
      <c r="C10" s="12">
        <v>22</v>
      </c>
      <c r="D10" s="8">
        <v>1.84</v>
      </c>
      <c r="E10" s="12">
        <v>2</v>
      </c>
      <c r="F10" s="8">
        <v>0.31</v>
      </c>
      <c r="G10" s="12">
        <v>20</v>
      </c>
      <c r="H10" s="8">
        <v>3.62</v>
      </c>
      <c r="I10" s="12">
        <v>0</v>
      </c>
    </row>
    <row r="11" spans="2:9" ht="15" customHeight="1" x14ac:dyDescent="0.2">
      <c r="B11" t="s">
        <v>77</v>
      </c>
      <c r="C11" s="12">
        <v>215</v>
      </c>
      <c r="D11" s="8">
        <v>17.989999999999998</v>
      </c>
      <c r="E11" s="12">
        <v>115</v>
      </c>
      <c r="F11" s="8">
        <v>18.03</v>
      </c>
      <c r="G11" s="12">
        <v>100</v>
      </c>
      <c r="H11" s="8">
        <v>18.079999999999998</v>
      </c>
      <c r="I11" s="12">
        <v>0</v>
      </c>
    </row>
    <row r="12" spans="2:9" ht="15" customHeight="1" x14ac:dyDescent="0.2">
      <c r="B12" t="s">
        <v>78</v>
      </c>
      <c r="C12" s="12">
        <v>7</v>
      </c>
      <c r="D12" s="8">
        <v>0.59</v>
      </c>
      <c r="E12" s="12">
        <v>2</v>
      </c>
      <c r="F12" s="8">
        <v>0.31</v>
      </c>
      <c r="G12" s="12">
        <v>5</v>
      </c>
      <c r="H12" s="8">
        <v>0.9</v>
      </c>
      <c r="I12" s="12">
        <v>0</v>
      </c>
    </row>
    <row r="13" spans="2:9" ht="15" customHeight="1" x14ac:dyDescent="0.2">
      <c r="B13" t="s">
        <v>79</v>
      </c>
      <c r="C13" s="12">
        <v>75</v>
      </c>
      <c r="D13" s="8">
        <v>6.28</v>
      </c>
      <c r="E13" s="12">
        <v>30</v>
      </c>
      <c r="F13" s="8">
        <v>4.7</v>
      </c>
      <c r="G13" s="12">
        <v>45</v>
      </c>
      <c r="H13" s="8">
        <v>8.14</v>
      </c>
      <c r="I13" s="12">
        <v>0</v>
      </c>
    </row>
    <row r="14" spans="2:9" ht="15" customHeight="1" x14ac:dyDescent="0.2">
      <c r="B14" t="s">
        <v>80</v>
      </c>
      <c r="C14" s="12">
        <v>37</v>
      </c>
      <c r="D14" s="8">
        <v>3.1</v>
      </c>
      <c r="E14" s="12">
        <v>20</v>
      </c>
      <c r="F14" s="8">
        <v>3.13</v>
      </c>
      <c r="G14" s="12">
        <v>17</v>
      </c>
      <c r="H14" s="8">
        <v>3.07</v>
      </c>
      <c r="I14" s="12">
        <v>0</v>
      </c>
    </row>
    <row r="15" spans="2:9" ht="15" customHeight="1" x14ac:dyDescent="0.2">
      <c r="B15" t="s">
        <v>81</v>
      </c>
      <c r="C15" s="12">
        <v>109</v>
      </c>
      <c r="D15" s="8">
        <v>9.1199999999999992</v>
      </c>
      <c r="E15" s="12">
        <v>85</v>
      </c>
      <c r="F15" s="8">
        <v>13.32</v>
      </c>
      <c r="G15" s="12">
        <v>23</v>
      </c>
      <c r="H15" s="8">
        <v>4.16</v>
      </c>
      <c r="I15" s="12">
        <v>0</v>
      </c>
    </row>
    <row r="16" spans="2:9" ht="15" customHeight="1" x14ac:dyDescent="0.2">
      <c r="B16" t="s">
        <v>82</v>
      </c>
      <c r="C16" s="12">
        <v>112</v>
      </c>
      <c r="D16" s="8">
        <v>9.3699999999999992</v>
      </c>
      <c r="E16" s="12">
        <v>89</v>
      </c>
      <c r="F16" s="8">
        <v>13.95</v>
      </c>
      <c r="G16" s="12">
        <v>22</v>
      </c>
      <c r="H16" s="8">
        <v>3.98</v>
      </c>
      <c r="I16" s="12">
        <v>1</v>
      </c>
    </row>
    <row r="17" spans="2:9" ht="15" customHeight="1" x14ac:dyDescent="0.2">
      <c r="B17" t="s">
        <v>83</v>
      </c>
      <c r="C17" s="12">
        <v>47</v>
      </c>
      <c r="D17" s="8">
        <v>3.93</v>
      </c>
      <c r="E17" s="12">
        <v>40</v>
      </c>
      <c r="F17" s="8">
        <v>6.27</v>
      </c>
      <c r="G17" s="12">
        <v>6</v>
      </c>
      <c r="H17" s="8">
        <v>1.08</v>
      </c>
      <c r="I17" s="12">
        <v>0</v>
      </c>
    </row>
    <row r="18" spans="2:9" ht="15" customHeight="1" x14ac:dyDescent="0.2">
      <c r="B18" t="s">
        <v>84</v>
      </c>
      <c r="C18" s="12">
        <v>55</v>
      </c>
      <c r="D18" s="8">
        <v>4.5999999999999996</v>
      </c>
      <c r="E18" s="12">
        <v>40</v>
      </c>
      <c r="F18" s="8">
        <v>6.27</v>
      </c>
      <c r="G18" s="12">
        <v>15</v>
      </c>
      <c r="H18" s="8">
        <v>2.71</v>
      </c>
      <c r="I18" s="12">
        <v>0</v>
      </c>
    </row>
    <row r="19" spans="2:9" ht="15" customHeight="1" x14ac:dyDescent="0.2">
      <c r="B19" t="s">
        <v>85</v>
      </c>
      <c r="C19" s="12">
        <v>51</v>
      </c>
      <c r="D19" s="8">
        <v>4.2699999999999996</v>
      </c>
      <c r="E19" s="12">
        <v>26</v>
      </c>
      <c r="F19" s="8">
        <v>4.08</v>
      </c>
      <c r="G19" s="12">
        <v>24</v>
      </c>
      <c r="H19" s="8">
        <v>4.34</v>
      </c>
      <c r="I19" s="12">
        <v>1</v>
      </c>
    </row>
    <row r="20" spans="2:9" ht="15" customHeight="1" x14ac:dyDescent="0.2">
      <c r="B20" s="9" t="s">
        <v>277</v>
      </c>
      <c r="C20" s="12">
        <f>SUM(LTBL_23232[総数／事業所数])</f>
        <v>1195</v>
      </c>
      <c r="E20" s="12">
        <f>SUBTOTAL(109,LTBL_23232[個人／事業所数])</f>
        <v>638</v>
      </c>
      <c r="G20" s="12">
        <f>SUBTOTAL(109,LTBL_23232[法人／事業所数])</f>
        <v>553</v>
      </c>
      <c r="I20" s="12">
        <f>SUBTOTAL(109,LTBL_23232[法人以外の団体／事業所数])</f>
        <v>2</v>
      </c>
    </row>
    <row r="21" spans="2:9" ht="15" customHeight="1" x14ac:dyDescent="0.2">
      <c r="E21" s="11">
        <f>LTBL_23232[[#Totals],[個人／事業所数]]/LTBL_23232[[#Totals],[総数／事業所数]]</f>
        <v>0.53389121338912138</v>
      </c>
      <c r="G21" s="11">
        <f>LTBL_23232[[#Totals],[法人／事業所数]]/LTBL_23232[[#Totals],[総数／事業所数]]</f>
        <v>0.46276150627615065</v>
      </c>
      <c r="I21" s="11">
        <f>LTBL_23232[[#Totals],[法人以外の団体／事業所数]]/LTBL_23232[[#Totals],[総数／事業所数]]</f>
        <v>1.6736401673640166E-3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95</v>
      </c>
      <c r="D24" s="8">
        <v>7.95</v>
      </c>
      <c r="E24" s="12">
        <v>83</v>
      </c>
      <c r="F24" s="8">
        <v>13.01</v>
      </c>
      <c r="G24" s="12">
        <v>12</v>
      </c>
      <c r="H24" s="8">
        <v>2.17</v>
      </c>
      <c r="I24" s="12">
        <v>0</v>
      </c>
    </row>
    <row r="25" spans="2:9" ht="15" customHeight="1" x14ac:dyDescent="0.2">
      <c r="B25" t="s">
        <v>111</v>
      </c>
      <c r="C25" s="12">
        <v>94</v>
      </c>
      <c r="D25" s="8">
        <v>7.87</v>
      </c>
      <c r="E25" s="12">
        <v>84</v>
      </c>
      <c r="F25" s="8">
        <v>13.17</v>
      </c>
      <c r="G25" s="12">
        <v>10</v>
      </c>
      <c r="H25" s="8">
        <v>1.81</v>
      </c>
      <c r="I25" s="12">
        <v>0</v>
      </c>
    </row>
    <row r="26" spans="2:9" ht="15" customHeight="1" x14ac:dyDescent="0.2">
      <c r="B26" t="s">
        <v>95</v>
      </c>
      <c r="C26" s="12">
        <v>93</v>
      </c>
      <c r="D26" s="8">
        <v>7.78</v>
      </c>
      <c r="E26" s="12">
        <v>37</v>
      </c>
      <c r="F26" s="8">
        <v>5.8</v>
      </c>
      <c r="G26" s="12">
        <v>56</v>
      </c>
      <c r="H26" s="8">
        <v>10.130000000000001</v>
      </c>
      <c r="I26" s="12">
        <v>0</v>
      </c>
    </row>
    <row r="27" spans="2:9" ht="15" customHeight="1" x14ac:dyDescent="0.2">
      <c r="B27" t="s">
        <v>94</v>
      </c>
      <c r="C27" s="12">
        <v>66</v>
      </c>
      <c r="D27" s="8">
        <v>5.52</v>
      </c>
      <c r="E27" s="12">
        <v>22</v>
      </c>
      <c r="F27" s="8">
        <v>3.45</v>
      </c>
      <c r="G27" s="12">
        <v>44</v>
      </c>
      <c r="H27" s="8">
        <v>7.96</v>
      </c>
      <c r="I27" s="12">
        <v>0</v>
      </c>
    </row>
    <row r="28" spans="2:9" ht="15" customHeight="1" x14ac:dyDescent="0.2">
      <c r="B28" t="s">
        <v>96</v>
      </c>
      <c r="C28" s="12">
        <v>55</v>
      </c>
      <c r="D28" s="8">
        <v>4.5999999999999996</v>
      </c>
      <c r="E28" s="12">
        <v>20</v>
      </c>
      <c r="F28" s="8">
        <v>3.13</v>
      </c>
      <c r="G28" s="12">
        <v>35</v>
      </c>
      <c r="H28" s="8">
        <v>6.33</v>
      </c>
      <c r="I28" s="12">
        <v>0</v>
      </c>
    </row>
    <row r="29" spans="2:9" ht="15" customHeight="1" x14ac:dyDescent="0.2">
      <c r="B29" t="s">
        <v>107</v>
      </c>
      <c r="C29" s="12">
        <v>53</v>
      </c>
      <c r="D29" s="8">
        <v>4.4400000000000004</v>
      </c>
      <c r="E29" s="12">
        <v>26</v>
      </c>
      <c r="F29" s="8">
        <v>4.08</v>
      </c>
      <c r="G29" s="12">
        <v>27</v>
      </c>
      <c r="H29" s="8">
        <v>4.88</v>
      </c>
      <c r="I29" s="12">
        <v>0</v>
      </c>
    </row>
    <row r="30" spans="2:9" ht="15" customHeight="1" x14ac:dyDescent="0.2">
      <c r="B30" t="s">
        <v>125</v>
      </c>
      <c r="C30" s="12">
        <v>48</v>
      </c>
      <c r="D30" s="8">
        <v>4.0199999999999996</v>
      </c>
      <c r="E30" s="12">
        <v>30</v>
      </c>
      <c r="F30" s="8">
        <v>4.7</v>
      </c>
      <c r="G30" s="12">
        <v>18</v>
      </c>
      <c r="H30" s="8">
        <v>3.25</v>
      </c>
      <c r="I30" s="12">
        <v>0</v>
      </c>
    </row>
    <row r="31" spans="2:9" ht="15" customHeight="1" x14ac:dyDescent="0.2">
      <c r="B31" t="s">
        <v>112</v>
      </c>
      <c r="C31" s="12">
        <v>47</v>
      </c>
      <c r="D31" s="8">
        <v>3.93</v>
      </c>
      <c r="E31" s="12">
        <v>40</v>
      </c>
      <c r="F31" s="8">
        <v>6.27</v>
      </c>
      <c r="G31" s="12">
        <v>6</v>
      </c>
      <c r="H31" s="8">
        <v>1.08</v>
      </c>
      <c r="I31" s="12">
        <v>0</v>
      </c>
    </row>
    <row r="32" spans="2:9" ht="15" customHeight="1" x14ac:dyDescent="0.2">
      <c r="B32" t="s">
        <v>105</v>
      </c>
      <c r="C32" s="12">
        <v>44</v>
      </c>
      <c r="D32" s="8">
        <v>3.68</v>
      </c>
      <c r="E32" s="12">
        <v>25</v>
      </c>
      <c r="F32" s="8">
        <v>3.92</v>
      </c>
      <c r="G32" s="12">
        <v>19</v>
      </c>
      <c r="H32" s="8">
        <v>3.44</v>
      </c>
      <c r="I32" s="12">
        <v>0</v>
      </c>
    </row>
    <row r="33" spans="2:9" ht="15" customHeight="1" x14ac:dyDescent="0.2">
      <c r="B33" t="s">
        <v>113</v>
      </c>
      <c r="C33" s="12">
        <v>44</v>
      </c>
      <c r="D33" s="8">
        <v>3.68</v>
      </c>
      <c r="E33" s="12">
        <v>40</v>
      </c>
      <c r="F33" s="8">
        <v>6.27</v>
      </c>
      <c r="G33" s="12">
        <v>4</v>
      </c>
      <c r="H33" s="8">
        <v>0.72</v>
      </c>
      <c r="I33" s="12">
        <v>0</v>
      </c>
    </row>
    <row r="34" spans="2:9" ht="15" customHeight="1" x14ac:dyDescent="0.2">
      <c r="B34" t="s">
        <v>97</v>
      </c>
      <c r="C34" s="12">
        <v>39</v>
      </c>
      <c r="D34" s="8">
        <v>3.26</v>
      </c>
      <c r="E34" s="12">
        <v>13</v>
      </c>
      <c r="F34" s="8">
        <v>2.04</v>
      </c>
      <c r="G34" s="12">
        <v>26</v>
      </c>
      <c r="H34" s="8">
        <v>4.7</v>
      </c>
      <c r="I34" s="12">
        <v>0</v>
      </c>
    </row>
    <row r="35" spans="2:9" ht="15" customHeight="1" x14ac:dyDescent="0.2">
      <c r="B35" t="s">
        <v>104</v>
      </c>
      <c r="C35" s="12">
        <v>35</v>
      </c>
      <c r="D35" s="8">
        <v>2.93</v>
      </c>
      <c r="E35" s="12">
        <v>29</v>
      </c>
      <c r="F35" s="8">
        <v>4.55</v>
      </c>
      <c r="G35" s="12">
        <v>6</v>
      </c>
      <c r="H35" s="8">
        <v>1.08</v>
      </c>
      <c r="I35" s="12">
        <v>0</v>
      </c>
    </row>
    <row r="36" spans="2:9" ht="15" customHeight="1" x14ac:dyDescent="0.2">
      <c r="B36" t="s">
        <v>103</v>
      </c>
      <c r="C36" s="12">
        <v>34</v>
      </c>
      <c r="D36" s="8">
        <v>2.85</v>
      </c>
      <c r="E36" s="12">
        <v>25</v>
      </c>
      <c r="F36" s="8">
        <v>3.92</v>
      </c>
      <c r="G36" s="12">
        <v>9</v>
      </c>
      <c r="H36" s="8">
        <v>1.63</v>
      </c>
      <c r="I36" s="12">
        <v>0</v>
      </c>
    </row>
    <row r="37" spans="2:9" ht="15" customHeight="1" x14ac:dyDescent="0.2">
      <c r="B37" t="s">
        <v>99</v>
      </c>
      <c r="C37" s="12">
        <v>26</v>
      </c>
      <c r="D37" s="8">
        <v>2.1800000000000002</v>
      </c>
      <c r="E37" s="12">
        <v>5</v>
      </c>
      <c r="F37" s="8">
        <v>0.78</v>
      </c>
      <c r="G37" s="12">
        <v>21</v>
      </c>
      <c r="H37" s="8">
        <v>3.8</v>
      </c>
      <c r="I37" s="12">
        <v>0</v>
      </c>
    </row>
    <row r="38" spans="2:9" ht="15" customHeight="1" x14ac:dyDescent="0.2">
      <c r="B38" t="s">
        <v>122</v>
      </c>
      <c r="C38" s="12">
        <v>24</v>
      </c>
      <c r="D38" s="8">
        <v>2.0099999999999998</v>
      </c>
      <c r="E38" s="12">
        <v>20</v>
      </c>
      <c r="F38" s="8">
        <v>3.13</v>
      </c>
      <c r="G38" s="12">
        <v>4</v>
      </c>
      <c r="H38" s="8">
        <v>0.72</v>
      </c>
      <c r="I38" s="12">
        <v>0</v>
      </c>
    </row>
    <row r="39" spans="2:9" ht="15" customHeight="1" x14ac:dyDescent="0.2">
      <c r="B39" t="s">
        <v>98</v>
      </c>
      <c r="C39" s="12">
        <v>22</v>
      </c>
      <c r="D39" s="8">
        <v>1.84</v>
      </c>
      <c r="E39" s="12">
        <v>9</v>
      </c>
      <c r="F39" s="8">
        <v>1.41</v>
      </c>
      <c r="G39" s="12">
        <v>13</v>
      </c>
      <c r="H39" s="8">
        <v>2.35</v>
      </c>
      <c r="I39" s="12">
        <v>0</v>
      </c>
    </row>
    <row r="40" spans="2:9" ht="15" customHeight="1" x14ac:dyDescent="0.2">
      <c r="B40" t="s">
        <v>131</v>
      </c>
      <c r="C40" s="12">
        <v>19</v>
      </c>
      <c r="D40" s="8">
        <v>1.59</v>
      </c>
      <c r="E40" s="12">
        <v>5</v>
      </c>
      <c r="F40" s="8">
        <v>0.78</v>
      </c>
      <c r="G40" s="12">
        <v>14</v>
      </c>
      <c r="H40" s="8">
        <v>2.5299999999999998</v>
      </c>
      <c r="I40" s="12">
        <v>0</v>
      </c>
    </row>
    <row r="41" spans="2:9" ht="15" customHeight="1" x14ac:dyDescent="0.2">
      <c r="B41" t="s">
        <v>102</v>
      </c>
      <c r="C41" s="12">
        <v>19</v>
      </c>
      <c r="D41" s="8">
        <v>1.59</v>
      </c>
      <c r="E41" s="12">
        <v>13</v>
      </c>
      <c r="F41" s="8">
        <v>2.04</v>
      </c>
      <c r="G41" s="12">
        <v>6</v>
      </c>
      <c r="H41" s="8">
        <v>1.08</v>
      </c>
      <c r="I41" s="12">
        <v>0</v>
      </c>
    </row>
    <row r="42" spans="2:9" ht="15" customHeight="1" x14ac:dyDescent="0.2">
      <c r="B42" t="s">
        <v>109</v>
      </c>
      <c r="C42" s="12">
        <v>19</v>
      </c>
      <c r="D42" s="8">
        <v>1.59</v>
      </c>
      <c r="E42" s="12">
        <v>7</v>
      </c>
      <c r="F42" s="8">
        <v>1.1000000000000001</v>
      </c>
      <c r="G42" s="12">
        <v>12</v>
      </c>
      <c r="H42" s="8">
        <v>2.17</v>
      </c>
      <c r="I42" s="12">
        <v>0</v>
      </c>
    </row>
    <row r="43" spans="2:9" ht="15" customHeight="1" x14ac:dyDescent="0.2">
      <c r="B43" t="s">
        <v>101</v>
      </c>
      <c r="C43" s="12">
        <v>17</v>
      </c>
      <c r="D43" s="8">
        <v>1.42</v>
      </c>
      <c r="E43" s="12">
        <v>6</v>
      </c>
      <c r="F43" s="8">
        <v>0.94</v>
      </c>
      <c r="G43" s="12">
        <v>11</v>
      </c>
      <c r="H43" s="8">
        <v>1.99</v>
      </c>
      <c r="I43" s="12">
        <v>0</v>
      </c>
    </row>
    <row r="44" spans="2:9" ht="15" customHeight="1" x14ac:dyDescent="0.2">
      <c r="B44" t="s">
        <v>106</v>
      </c>
      <c r="C44" s="12">
        <v>17</v>
      </c>
      <c r="D44" s="8">
        <v>1.42</v>
      </c>
      <c r="E44" s="12">
        <v>4</v>
      </c>
      <c r="F44" s="8">
        <v>0.63</v>
      </c>
      <c r="G44" s="12">
        <v>13</v>
      </c>
      <c r="H44" s="8">
        <v>2.35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165</v>
      </c>
      <c r="C48" s="12">
        <v>47</v>
      </c>
      <c r="D48" s="8">
        <v>3.93</v>
      </c>
      <c r="E48" s="12">
        <v>44</v>
      </c>
      <c r="F48" s="8">
        <v>6.9</v>
      </c>
      <c r="G48" s="12">
        <v>3</v>
      </c>
      <c r="H48" s="8">
        <v>0.54</v>
      </c>
      <c r="I48" s="12">
        <v>0</v>
      </c>
    </row>
    <row r="49" spans="2:9" ht="15" customHeight="1" x14ac:dyDescent="0.2">
      <c r="B49" t="s">
        <v>168</v>
      </c>
      <c r="C49" s="12">
        <v>46</v>
      </c>
      <c r="D49" s="8">
        <v>3.85</v>
      </c>
      <c r="E49" s="12">
        <v>42</v>
      </c>
      <c r="F49" s="8">
        <v>6.58</v>
      </c>
      <c r="G49" s="12">
        <v>4</v>
      </c>
      <c r="H49" s="8">
        <v>0.72</v>
      </c>
      <c r="I49" s="12">
        <v>0</v>
      </c>
    </row>
    <row r="50" spans="2:9" ht="15" customHeight="1" x14ac:dyDescent="0.2">
      <c r="B50" t="s">
        <v>161</v>
      </c>
      <c r="C50" s="12">
        <v>36</v>
      </c>
      <c r="D50" s="8">
        <v>3.01</v>
      </c>
      <c r="E50" s="12">
        <v>24</v>
      </c>
      <c r="F50" s="8">
        <v>3.76</v>
      </c>
      <c r="G50" s="12">
        <v>12</v>
      </c>
      <c r="H50" s="8">
        <v>2.17</v>
      </c>
      <c r="I50" s="12">
        <v>0</v>
      </c>
    </row>
    <row r="51" spans="2:9" ht="15" customHeight="1" x14ac:dyDescent="0.2">
      <c r="B51" t="s">
        <v>170</v>
      </c>
      <c r="C51" s="12">
        <v>32</v>
      </c>
      <c r="D51" s="8">
        <v>2.68</v>
      </c>
      <c r="E51" s="12">
        <v>27</v>
      </c>
      <c r="F51" s="8">
        <v>4.2300000000000004</v>
      </c>
      <c r="G51" s="12">
        <v>5</v>
      </c>
      <c r="H51" s="8">
        <v>0.9</v>
      </c>
      <c r="I51" s="12">
        <v>0</v>
      </c>
    </row>
    <row r="52" spans="2:9" ht="15" customHeight="1" x14ac:dyDescent="0.2">
      <c r="B52" t="s">
        <v>171</v>
      </c>
      <c r="C52" s="12">
        <v>31</v>
      </c>
      <c r="D52" s="8">
        <v>2.59</v>
      </c>
      <c r="E52" s="12">
        <v>28</v>
      </c>
      <c r="F52" s="8">
        <v>4.3899999999999997</v>
      </c>
      <c r="G52" s="12">
        <v>3</v>
      </c>
      <c r="H52" s="8">
        <v>0.54</v>
      </c>
      <c r="I52" s="12">
        <v>0</v>
      </c>
    </row>
    <row r="53" spans="2:9" ht="15" customHeight="1" x14ac:dyDescent="0.2">
      <c r="B53" t="s">
        <v>167</v>
      </c>
      <c r="C53" s="12">
        <v>27</v>
      </c>
      <c r="D53" s="8">
        <v>2.2599999999999998</v>
      </c>
      <c r="E53" s="12">
        <v>27</v>
      </c>
      <c r="F53" s="8">
        <v>4.2300000000000004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206</v>
      </c>
      <c r="C54" s="12">
        <v>25</v>
      </c>
      <c r="D54" s="8">
        <v>2.09</v>
      </c>
      <c r="E54" s="12">
        <v>14</v>
      </c>
      <c r="F54" s="8">
        <v>2.19</v>
      </c>
      <c r="G54" s="12">
        <v>11</v>
      </c>
      <c r="H54" s="8">
        <v>1.99</v>
      </c>
      <c r="I54" s="12">
        <v>0</v>
      </c>
    </row>
    <row r="55" spans="2:9" ht="15" customHeight="1" x14ac:dyDescent="0.2">
      <c r="B55" t="s">
        <v>188</v>
      </c>
      <c r="C55" s="12">
        <v>24</v>
      </c>
      <c r="D55" s="8">
        <v>2.0099999999999998</v>
      </c>
      <c r="E55" s="12">
        <v>20</v>
      </c>
      <c r="F55" s="8">
        <v>3.13</v>
      </c>
      <c r="G55" s="12">
        <v>4</v>
      </c>
      <c r="H55" s="8">
        <v>0.72</v>
      </c>
      <c r="I55" s="12">
        <v>0</v>
      </c>
    </row>
    <row r="56" spans="2:9" ht="15" customHeight="1" x14ac:dyDescent="0.2">
      <c r="B56" t="s">
        <v>154</v>
      </c>
      <c r="C56" s="12">
        <v>22</v>
      </c>
      <c r="D56" s="8">
        <v>1.84</v>
      </c>
      <c r="E56" s="12">
        <v>6</v>
      </c>
      <c r="F56" s="8">
        <v>0.94</v>
      </c>
      <c r="G56" s="12">
        <v>16</v>
      </c>
      <c r="H56" s="8">
        <v>2.89</v>
      </c>
      <c r="I56" s="12">
        <v>0</v>
      </c>
    </row>
    <row r="57" spans="2:9" ht="15" customHeight="1" x14ac:dyDescent="0.2">
      <c r="B57" t="s">
        <v>155</v>
      </c>
      <c r="C57" s="12">
        <v>22</v>
      </c>
      <c r="D57" s="8">
        <v>1.84</v>
      </c>
      <c r="E57" s="12">
        <v>10</v>
      </c>
      <c r="F57" s="8">
        <v>1.57</v>
      </c>
      <c r="G57" s="12">
        <v>12</v>
      </c>
      <c r="H57" s="8">
        <v>2.17</v>
      </c>
      <c r="I57" s="12">
        <v>0</v>
      </c>
    </row>
    <row r="58" spans="2:9" ht="15" customHeight="1" x14ac:dyDescent="0.2">
      <c r="B58" t="s">
        <v>152</v>
      </c>
      <c r="C58" s="12">
        <v>21</v>
      </c>
      <c r="D58" s="8">
        <v>1.76</v>
      </c>
      <c r="E58" s="12">
        <v>3</v>
      </c>
      <c r="F58" s="8">
        <v>0.47</v>
      </c>
      <c r="G58" s="12">
        <v>18</v>
      </c>
      <c r="H58" s="8">
        <v>3.25</v>
      </c>
      <c r="I58" s="12">
        <v>0</v>
      </c>
    </row>
    <row r="59" spans="2:9" ht="15" customHeight="1" x14ac:dyDescent="0.2">
      <c r="B59" t="s">
        <v>156</v>
      </c>
      <c r="C59" s="12">
        <v>21</v>
      </c>
      <c r="D59" s="8">
        <v>1.76</v>
      </c>
      <c r="E59" s="12">
        <v>16</v>
      </c>
      <c r="F59" s="8">
        <v>2.5099999999999998</v>
      </c>
      <c r="G59" s="12">
        <v>5</v>
      </c>
      <c r="H59" s="8">
        <v>0.9</v>
      </c>
      <c r="I59" s="12">
        <v>0</v>
      </c>
    </row>
    <row r="60" spans="2:9" ht="15" customHeight="1" x14ac:dyDescent="0.2">
      <c r="B60" t="s">
        <v>163</v>
      </c>
      <c r="C60" s="12">
        <v>20</v>
      </c>
      <c r="D60" s="8">
        <v>1.67</v>
      </c>
      <c r="E60" s="12">
        <v>15</v>
      </c>
      <c r="F60" s="8">
        <v>2.35</v>
      </c>
      <c r="G60" s="12">
        <v>5</v>
      </c>
      <c r="H60" s="8">
        <v>0.9</v>
      </c>
      <c r="I60" s="12">
        <v>0</v>
      </c>
    </row>
    <row r="61" spans="2:9" ht="15" customHeight="1" x14ac:dyDescent="0.2">
      <c r="B61" t="s">
        <v>200</v>
      </c>
      <c r="C61" s="12">
        <v>19</v>
      </c>
      <c r="D61" s="8">
        <v>1.59</v>
      </c>
      <c r="E61" s="12">
        <v>8</v>
      </c>
      <c r="F61" s="8">
        <v>1.25</v>
      </c>
      <c r="G61" s="12">
        <v>11</v>
      </c>
      <c r="H61" s="8">
        <v>1.99</v>
      </c>
      <c r="I61" s="12">
        <v>0</v>
      </c>
    </row>
    <row r="62" spans="2:9" ht="15" customHeight="1" x14ac:dyDescent="0.2">
      <c r="B62" t="s">
        <v>204</v>
      </c>
      <c r="C62" s="12">
        <v>17</v>
      </c>
      <c r="D62" s="8">
        <v>1.42</v>
      </c>
      <c r="E62" s="12">
        <v>9</v>
      </c>
      <c r="F62" s="8">
        <v>1.41</v>
      </c>
      <c r="G62" s="12">
        <v>8</v>
      </c>
      <c r="H62" s="8">
        <v>1.45</v>
      </c>
      <c r="I62" s="12">
        <v>0</v>
      </c>
    </row>
    <row r="63" spans="2:9" ht="15" customHeight="1" x14ac:dyDescent="0.2">
      <c r="B63" t="s">
        <v>166</v>
      </c>
      <c r="C63" s="12">
        <v>17</v>
      </c>
      <c r="D63" s="8">
        <v>1.42</v>
      </c>
      <c r="E63" s="12">
        <v>11</v>
      </c>
      <c r="F63" s="8">
        <v>1.72</v>
      </c>
      <c r="G63" s="12">
        <v>6</v>
      </c>
      <c r="H63" s="8">
        <v>1.08</v>
      </c>
      <c r="I63" s="12">
        <v>0</v>
      </c>
    </row>
    <row r="64" spans="2:9" ht="15" customHeight="1" x14ac:dyDescent="0.2">
      <c r="B64" t="s">
        <v>153</v>
      </c>
      <c r="C64" s="12">
        <v>16</v>
      </c>
      <c r="D64" s="8">
        <v>1.34</v>
      </c>
      <c r="E64" s="12">
        <v>5</v>
      </c>
      <c r="F64" s="8">
        <v>0.78</v>
      </c>
      <c r="G64" s="12">
        <v>11</v>
      </c>
      <c r="H64" s="8">
        <v>1.99</v>
      </c>
      <c r="I64" s="12">
        <v>0</v>
      </c>
    </row>
    <row r="65" spans="2:9" ht="15" customHeight="1" x14ac:dyDescent="0.2">
      <c r="B65" t="s">
        <v>205</v>
      </c>
      <c r="C65" s="12">
        <v>16</v>
      </c>
      <c r="D65" s="8">
        <v>1.34</v>
      </c>
      <c r="E65" s="12">
        <v>9</v>
      </c>
      <c r="F65" s="8">
        <v>1.41</v>
      </c>
      <c r="G65" s="12">
        <v>7</v>
      </c>
      <c r="H65" s="8">
        <v>1.27</v>
      </c>
      <c r="I65" s="12">
        <v>0</v>
      </c>
    </row>
    <row r="66" spans="2:9" ht="15" customHeight="1" x14ac:dyDescent="0.2">
      <c r="B66" t="s">
        <v>196</v>
      </c>
      <c r="C66" s="12">
        <v>16</v>
      </c>
      <c r="D66" s="8">
        <v>1.34</v>
      </c>
      <c r="E66" s="12">
        <v>4</v>
      </c>
      <c r="F66" s="8">
        <v>0.63</v>
      </c>
      <c r="G66" s="12">
        <v>12</v>
      </c>
      <c r="H66" s="8">
        <v>2.17</v>
      </c>
      <c r="I66" s="12">
        <v>0</v>
      </c>
    </row>
    <row r="67" spans="2:9" ht="15" customHeight="1" x14ac:dyDescent="0.2">
      <c r="B67" t="s">
        <v>217</v>
      </c>
      <c r="C67" s="12">
        <v>15</v>
      </c>
      <c r="D67" s="8">
        <v>1.26</v>
      </c>
      <c r="E67" s="12">
        <v>8</v>
      </c>
      <c r="F67" s="8">
        <v>1.25</v>
      </c>
      <c r="G67" s="12">
        <v>7</v>
      </c>
      <c r="H67" s="8">
        <v>1.27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57C0-BC3A-4A09-ACC7-C9BF186E934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329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226</v>
      </c>
      <c r="D6" s="8">
        <v>15.17</v>
      </c>
      <c r="E6" s="12">
        <v>37</v>
      </c>
      <c r="F6" s="8">
        <v>5.99</v>
      </c>
      <c r="G6" s="12">
        <v>189</v>
      </c>
      <c r="H6" s="8">
        <v>22</v>
      </c>
      <c r="I6" s="12">
        <v>0</v>
      </c>
    </row>
    <row r="7" spans="2:9" ht="15" customHeight="1" x14ac:dyDescent="0.2">
      <c r="B7" t="s">
        <v>73</v>
      </c>
      <c r="C7" s="12">
        <v>287</v>
      </c>
      <c r="D7" s="8">
        <v>19.260000000000002</v>
      </c>
      <c r="E7" s="12">
        <v>70</v>
      </c>
      <c r="F7" s="8">
        <v>11.33</v>
      </c>
      <c r="G7" s="12">
        <v>217</v>
      </c>
      <c r="H7" s="8">
        <v>25.26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9</v>
      </c>
      <c r="D9" s="8">
        <v>0.6</v>
      </c>
      <c r="E9" s="12">
        <v>0</v>
      </c>
      <c r="F9" s="8">
        <v>0</v>
      </c>
      <c r="G9" s="12">
        <v>9</v>
      </c>
      <c r="H9" s="8">
        <v>1.05</v>
      </c>
      <c r="I9" s="12">
        <v>0</v>
      </c>
    </row>
    <row r="10" spans="2:9" ht="15" customHeight="1" x14ac:dyDescent="0.2">
      <c r="B10" t="s">
        <v>76</v>
      </c>
      <c r="C10" s="12">
        <v>19</v>
      </c>
      <c r="D10" s="8">
        <v>1.28</v>
      </c>
      <c r="E10" s="12">
        <v>1</v>
      </c>
      <c r="F10" s="8">
        <v>0.16</v>
      </c>
      <c r="G10" s="12">
        <v>18</v>
      </c>
      <c r="H10" s="8">
        <v>2.1</v>
      </c>
      <c r="I10" s="12">
        <v>0</v>
      </c>
    </row>
    <row r="11" spans="2:9" ht="15" customHeight="1" x14ac:dyDescent="0.2">
      <c r="B11" t="s">
        <v>77</v>
      </c>
      <c r="C11" s="12">
        <v>324</v>
      </c>
      <c r="D11" s="8">
        <v>21.74</v>
      </c>
      <c r="E11" s="12">
        <v>141</v>
      </c>
      <c r="F11" s="8">
        <v>22.82</v>
      </c>
      <c r="G11" s="12">
        <v>183</v>
      </c>
      <c r="H11" s="8">
        <v>21.3</v>
      </c>
      <c r="I11" s="12">
        <v>0</v>
      </c>
    </row>
    <row r="12" spans="2:9" ht="15" customHeight="1" x14ac:dyDescent="0.2">
      <c r="B12" t="s">
        <v>78</v>
      </c>
      <c r="C12" s="12">
        <v>5</v>
      </c>
      <c r="D12" s="8">
        <v>0.34</v>
      </c>
      <c r="E12" s="12">
        <v>1</v>
      </c>
      <c r="F12" s="8">
        <v>0.16</v>
      </c>
      <c r="G12" s="12">
        <v>4</v>
      </c>
      <c r="H12" s="8">
        <v>0.47</v>
      </c>
      <c r="I12" s="12">
        <v>0</v>
      </c>
    </row>
    <row r="13" spans="2:9" ht="15" customHeight="1" x14ac:dyDescent="0.2">
      <c r="B13" t="s">
        <v>79</v>
      </c>
      <c r="C13" s="12">
        <v>127</v>
      </c>
      <c r="D13" s="8">
        <v>8.52</v>
      </c>
      <c r="E13" s="12">
        <v>26</v>
      </c>
      <c r="F13" s="8">
        <v>4.21</v>
      </c>
      <c r="G13" s="12">
        <v>101</v>
      </c>
      <c r="H13" s="8">
        <v>11.76</v>
      </c>
      <c r="I13" s="12">
        <v>0</v>
      </c>
    </row>
    <row r="14" spans="2:9" ht="15" customHeight="1" x14ac:dyDescent="0.2">
      <c r="B14" t="s">
        <v>80</v>
      </c>
      <c r="C14" s="12">
        <v>62</v>
      </c>
      <c r="D14" s="8">
        <v>4.16</v>
      </c>
      <c r="E14" s="12">
        <v>34</v>
      </c>
      <c r="F14" s="8">
        <v>5.5</v>
      </c>
      <c r="G14" s="12">
        <v>28</v>
      </c>
      <c r="H14" s="8">
        <v>3.26</v>
      </c>
      <c r="I14" s="12">
        <v>0</v>
      </c>
    </row>
    <row r="15" spans="2:9" ht="15" customHeight="1" x14ac:dyDescent="0.2">
      <c r="B15" t="s">
        <v>81</v>
      </c>
      <c r="C15" s="12">
        <v>126</v>
      </c>
      <c r="D15" s="8">
        <v>8.4600000000000009</v>
      </c>
      <c r="E15" s="12">
        <v>106</v>
      </c>
      <c r="F15" s="8">
        <v>17.149999999999999</v>
      </c>
      <c r="G15" s="12">
        <v>20</v>
      </c>
      <c r="H15" s="8">
        <v>2.33</v>
      </c>
      <c r="I15" s="12">
        <v>0</v>
      </c>
    </row>
    <row r="16" spans="2:9" ht="15" customHeight="1" x14ac:dyDescent="0.2">
      <c r="B16" t="s">
        <v>82</v>
      </c>
      <c r="C16" s="12">
        <v>135</v>
      </c>
      <c r="D16" s="8">
        <v>9.06</v>
      </c>
      <c r="E16" s="12">
        <v>103</v>
      </c>
      <c r="F16" s="8">
        <v>16.670000000000002</v>
      </c>
      <c r="G16" s="12">
        <v>30</v>
      </c>
      <c r="H16" s="8">
        <v>3.49</v>
      </c>
      <c r="I16" s="12">
        <v>0</v>
      </c>
    </row>
    <row r="17" spans="2:9" ht="15" customHeight="1" x14ac:dyDescent="0.2">
      <c r="B17" t="s">
        <v>83</v>
      </c>
      <c r="C17" s="12">
        <v>43</v>
      </c>
      <c r="D17" s="8">
        <v>2.89</v>
      </c>
      <c r="E17" s="12">
        <v>36</v>
      </c>
      <c r="F17" s="8">
        <v>5.83</v>
      </c>
      <c r="G17" s="12">
        <v>5</v>
      </c>
      <c r="H17" s="8">
        <v>0.57999999999999996</v>
      </c>
      <c r="I17" s="12">
        <v>1</v>
      </c>
    </row>
    <row r="18" spans="2:9" ht="15" customHeight="1" x14ac:dyDescent="0.2">
      <c r="B18" t="s">
        <v>84</v>
      </c>
      <c r="C18" s="12">
        <v>65</v>
      </c>
      <c r="D18" s="8">
        <v>4.3600000000000003</v>
      </c>
      <c r="E18" s="12">
        <v>44</v>
      </c>
      <c r="F18" s="8">
        <v>7.12</v>
      </c>
      <c r="G18" s="12">
        <v>15</v>
      </c>
      <c r="H18" s="8">
        <v>1.75</v>
      </c>
      <c r="I18" s="12">
        <v>0</v>
      </c>
    </row>
    <row r="19" spans="2:9" ht="15" customHeight="1" x14ac:dyDescent="0.2">
      <c r="B19" t="s">
        <v>85</v>
      </c>
      <c r="C19" s="12">
        <v>62</v>
      </c>
      <c r="D19" s="8">
        <v>4.16</v>
      </c>
      <c r="E19" s="12">
        <v>19</v>
      </c>
      <c r="F19" s="8">
        <v>3.07</v>
      </c>
      <c r="G19" s="12">
        <v>40</v>
      </c>
      <c r="H19" s="8">
        <v>4.66</v>
      </c>
      <c r="I19" s="12">
        <v>1</v>
      </c>
    </row>
    <row r="20" spans="2:9" ht="15" customHeight="1" x14ac:dyDescent="0.2">
      <c r="B20" s="9" t="s">
        <v>277</v>
      </c>
      <c r="C20" s="12">
        <f>SUM(LTBL_23233[総数／事業所数])</f>
        <v>1490</v>
      </c>
      <c r="E20" s="12">
        <f>SUBTOTAL(109,LTBL_23233[個人／事業所数])</f>
        <v>618</v>
      </c>
      <c r="G20" s="12">
        <f>SUBTOTAL(109,LTBL_23233[法人／事業所数])</f>
        <v>859</v>
      </c>
      <c r="I20" s="12">
        <f>SUBTOTAL(109,LTBL_23233[法人以外の団体／事業所数])</f>
        <v>2</v>
      </c>
    </row>
    <row r="21" spans="2:9" ht="15" customHeight="1" x14ac:dyDescent="0.2">
      <c r="E21" s="11">
        <f>LTBL_23233[[#Totals],[個人／事業所数]]/LTBL_23233[[#Totals],[総数／事業所数]]</f>
        <v>0.41476510067114092</v>
      </c>
      <c r="G21" s="11">
        <f>LTBL_23233[[#Totals],[法人／事業所数]]/LTBL_23233[[#Totals],[総数／事業所数]]</f>
        <v>0.57651006711409392</v>
      </c>
      <c r="I21" s="11">
        <f>LTBL_23233[[#Totals],[法人以外の団体／事業所数]]/LTBL_23233[[#Totals],[総数／事業所数]]</f>
        <v>1.3422818791946308E-3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119</v>
      </c>
      <c r="D24" s="8">
        <v>7.99</v>
      </c>
      <c r="E24" s="12">
        <v>102</v>
      </c>
      <c r="F24" s="8">
        <v>16.5</v>
      </c>
      <c r="G24" s="12">
        <v>17</v>
      </c>
      <c r="H24" s="8">
        <v>1.98</v>
      </c>
      <c r="I24" s="12">
        <v>0</v>
      </c>
    </row>
    <row r="25" spans="2:9" ht="15" customHeight="1" x14ac:dyDescent="0.2">
      <c r="B25" t="s">
        <v>111</v>
      </c>
      <c r="C25" s="12">
        <v>110</v>
      </c>
      <c r="D25" s="8">
        <v>7.38</v>
      </c>
      <c r="E25" s="12">
        <v>96</v>
      </c>
      <c r="F25" s="8">
        <v>15.53</v>
      </c>
      <c r="G25" s="12">
        <v>14</v>
      </c>
      <c r="H25" s="8">
        <v>1.63</v>
      </c>
      <c r="I25" s="12">
        <v>0</v>
      </c>
    </row>
    <row r="26" spans="2:9" ht="15" customHeight="1" x14ac:dyDescent="0.2">
      <c r="B26" t="s">
        <v>107</v>
      </c>
      <c r="C26" s="12">
        <v>97</v>
      </c>
      <c r="D26" s="8">
        <v>6.51</v>
      </c>
      <c r="E26" s="12">
        <v>19</v>
      </c>
      <c r="F26" s="8">
        <v>3.07</v>
      </c>
      <c r="G26" s="12">
        <v>78</v>
      </c>
      <c r="H26" s="8">
        <v>9.08</v>
      </c>
      <c r="I26" s="12">
        <v>0</v>
      </c>
    </row>
    <row r="27" spans="2:9" ht="15" customHeight="1" x14ac:dyDescent="0.2">
      <c r="B27" t="s">
        <v>96</v>
      </c>
      <c r="C27" s="12">
        <v>90</v>
      </c>
      <c r="D27" s="8">
        <v>6.04</v>
      </c>
      <c r="E27" s="12">
        <v>17</v>
      </c>
      <c r="F27" s="8">
        <v>2.75</v>
      </c>
      <c r="G27" s="12">
        <v>73</v>
      </c>
      <c r="H27" s="8">
        <v>8.5</v>
      </c>
      <c r="I27" s="12">
        <v>0</v>
      </c>
    </row>
    <row r="28" spans="2:9" ht="15" customHeight="1" x14ac:dyDescent="0.2">
      <c r="B28" t="s">
        <v>105</v>
      </c>
      <c r="C28" s="12">
        <v>70</v>
      </c>
      <c r="D28" s="8">
        <v>4.7</v>
      </c>
      <c r="E28" s="12">
        <v>40</v>
      </c>
      <c r="F28" s="8">
        <v>6.47</v>
      </c>
      <c r="G28" s="12">
        <v>30</v>
      </c>
      <c r="H28" s="8">
        <v>3.49</v>
      </c>
      <c r="I28" s="12">
        <v>0</v>
      </c>
    </row>
    <row r="29" spans="2:9" ht="15" customHeight="1" x14ac:dyDescent="0.2">
      <c r="B29" t="s">
        <v>95</v>
      </c>
      <c r="C29" s="12">
        <v>69</v>
      </c>
      <c r="D29" s="8">
        <v>4.63</v>
      </c>
      <c r="E29" s="12">
        <v>15</v>
      </c>
      <c r="F29" s="8">
        <v>2.4300000000000002</v>
      </c>
      <c r="G29" s="12">
        <v>54</v>
      </c>
      <c r="H29" s="8">
        <v>6.29</v>
      </c>
      <c r="I29" s="12">
        <v>0</v>
      </c>
    </row>
    <row r="30" spans="2:9" ht="15" customHeight="1" x14ac:dyDescent="0.2">
      <c r="B30" t="s">
        <v>94</v>
      </c>
      <c r="C30" s="12">
        <v>67</v>
      </c>
      <c r="D30" s="8">
        <v>4.5</v>
      </c>
      <c r="E30" s="12">
        <v>5</v>
      </c>
      <c r="F30" s="8">
        <v>0.81</v>
      </c>
      <c r="G30" s="12">
        <v>62</v>
      </c>
      <c r="H30" s="8">
        <v>7.22</v>
      </c>
      <c r="I30" s="12">
        <v>0</v>
      </c>
    </row>
    <row r="31" spans="2:9" ht="15" customHeight="1" x14ac:dyDescent="0.2">
      <c r="B31" t="s">
        <v>104</v>
      </c>
      <c r="C31" s="12">
        <v>53</v>
      </c>
      <c r="D31" s="8">
        <v>3.56</v>
      </c>
      <c r="E31" s="12">
        <v>30</v>
      </c>
      <c r="F31" s="8">
        <v>4.8499999999999996</v>
      </c>
      <c r="G31" s="12">
        <v>23</v>
      </c>
      <c r="H31" s="8">
        <v>2.68</v>
      </c>
      <c r="I31" s="12">
        <v>0</v>
      </c>
    </row>
    <row r="32" spans="2:9" ht="15" customHeight="1" x14ac:dyDescent="0.2">
      <c r="B32" t="s">
        <v>113</v>
      </c>
      <c r="C32" s="12">
        <v>48</v>
      </c>
      <c r="D32" s="8">
        <v>3.22</v>
      </c>
      <c r="E32" s="12">
        <v>44</v>
      </c>
      <c r="F32" s="8">
        <v>7.12</v>
      </c>
      <c r="G32" s="12">
        <v>4</v>
      </c>
      <c r="H32" s="8">
        <v>0.47</v>
      </c>
      <c r="I32" s="12">
        <v>0</v>
      </c>
    </row>
    <row r="33" spans="2:9" ht="15" customHeight="1" x14ac:dyDescent="0.2">
      <c r="B33" t="s">
        <v>103</v>
      </c>
      <c r="C33" s="12">
        <v>45</v>
      </c>
      <c r="D33" s="8">
        <v>3.02</v>
      </c>
      <c r="E33" s="12">
        <v>36</v>
      </c>
      <c r="F33" s="8">
        <v>5.83</v>
      </c>
      <c r="G33" s="12">
        <v>9</v>
      </c>
      <c r="H33" s="8">
        <v>1.05</v>
      </c>
      <c r="I33" s="12">
        <v>0</v>
      </c>
    </row>
    <row r="34" spans="2:9" ht="15" customHeight="1" x14ac:dyDescent="0.2">
      <c r="B34" t="s">
        <v>112</v>
      </c>
      <c r="C34" s="12">
        <v>43</v>
      </c>
      <c r="D34" s="8">
        <v>2.89</v>
      </c>
      <c r="E34" s="12">
        <v>36</v>
      </c>
      <c r="F34" s="8">
        <v>5.83</v>
      </c>
      <c r="G34" s="12">
        <v>5</v>
      </c>
      <c r="H34" s="8">
        <v>0.57999999999999996</v>
      </c>
      <c r="I34" s="12">
        <v>1</v>
      </c>
    </row>
    <row r="35" spans="2:9" ht="15" customHeight="1" x14ac:dyDescent="0.2">
      <c r="B35" t="s">
        <v>100</v>
      </c>
      <c r="C35" s="12">
        <v>41</v>
      </c>
      <c r="D35" s="8">
        <v>2.75</v>
      </c>
      <c r="E35" s="12">
        <v>4</v>
      </c>
      <c r="F35" s="8">
        <v>0.65</v>
      </c>
      <c r="G35" s="12">
        <v>37</v>
      </c>
      <c r="H35" s="8">
        <v>4.3099999999999996</v>
      </c>
      <c r="I35" s="12">
        <v>0</v>
      </c>
    </row>
    <row r="36" spans="2:9" ht="15" customHeight="1" x14ac:dyDescent="0.2">
      <c r="B36" t="s">
        <v>98</v>
      </c>
      <c r="C36" s="12">
        <v>40</v>
      </c>
      <c r="D36" s="8">
        <v>2.68</v>
      </c>
      <c r="E36" s="12">
        <v>5</v>
      </c>
      <c r="F36" s="8">
        <v>0.81</v>
      </c>
      <c r="G36" s="12">
        <v>35</v>
      </c>
      <c r="H36" s="8">
        <v>4.07</v>
      </c>
      <c r="I36" s="12">
        <v>0</v>
      </c>
    </row>
    <row r="37" spans="2:9" ht="15" customHeight="1" x14ac:dyDescent="0.2">
      <c r="B37" t="s">
        <v>108</v>
      </c>
      <c r="C37" s="12">
        <v>38</v>
      </c>
      <c r="D37" s="8">
        <v>2.5499999999999998</v>
      </c>
      <c r="E37" s="12">
        <v>24</v>
      </c>
      <c r="F37" s="8">
        <v>3.88</v>
      </c>
      <c r="G37" s="12">
        <v>14</v>
      </c>
      <c r="H37" s="8">
        <v>1.63</v>
      </c>
      <c r="I37" s="12">
        <v>0</v>
      </c>
    </row>
    <row r="38" spans="2:9" ht="15" customHeight="1" x14ac:dyDescent="0.2">
      <c r="B38" t="s">
        <v>97</v>
      </c>
      <c r="C38" s="12">
        <v>37</v>
      </c>
      <c r="D38" s="8">
        <v>2.48</v>
      </c>
      <c r="E38" s="12">
        <v>11</v>
      </c>
      <c r="F38" s="8">
        <v>1.78</v>
      </c>
      <c r="G38" s="12">
        <v>26</v>
      </c>
      <c r="H38" s="8">
        <v>3.03</v>
      </c>
      <c r="I38" s="12">
        <v>0</v>
      </c>
    </row>
    <row r="39" spans="2:9" ht="15" customHeight="1" x14ac:dyDescent="0.2">
      <c r="B39" t="s">
        <v>99</v>
      </c>
      <c r="C39" s="12">
        <v>33</v>
      </c>
      <c r="D39" s="8">
        <v>2.21</v>
      </c>
      <c r="E39" s="12">
        <v>5</v>
      </c>
      <c r="F39" s="8">
        <v>0.81</v>
      </c>
      <c r="G39" s="12">
        <v>28</v>
      </c>
      <c r="H39" s="8">
        <v>3.26</v>
      </c>
      <c r="I39" s="12">
        <v>0</v>
      </c>
    </row>
    <row r="40" spans="2:9" ht="15" customHeight="1" x14ac:dyDescent="0.2">
      <c r="B40" t="s">
        <v>125</v>
      </c>
      <c r="C40" s="12">
        <v>27</v>
      </c>
      <c r="D40" s="8">
        <v>1.81</v>
      </c>
      <c r="E40" s="12">
        <v>12</v>
      </c>
      <c r="F40" s="8">
        <v>1.94</v>
      </c>
      <c r="G40" s="12">
        <v>15</v>
      </c>
      <c r="H40" s="8">
        <v>1.75</v>
      </c>
      <c r="I40" s="12">
        <v>0</v>
      </c>
    </row>
    <row r="41" spans="2:9" ht="15" customHeight="1" x14ac:dyDescent="0.2">
      <c r="B41" t="s">
        <v>131</v>
      </c>
      <c r="C41" s="12">
        <v>26</v>
      </c>
      <c r="D41" s="8">
        <v>1.74</v>
      </c>
      <c r="E41" s="12">
        <v>2</v>
      </c>
      <c r="F41" s="8">
        <v>0.32</v>
      </c>
      <c r="G41" s="12">
        <v>24</v>
      </c>
      <c r="H41" s="8">
        <v>2.79</v>
      </c>
      <c r="I41" s="12">
        <v>0</v>
      </c>
    </row>
    <row r="42" spans="2:9" ht="15" customHeight="1" x14ac:dyDescent="0.2">
      <c r="B42" t="s">
        <v>101</v>
      </c>
      <c r="C42" s="12">
        <v>25</v>
      </c>
      <c r="D42" s="8">
        <v>1.68</v>
      </c>
      <c r="E42" s="12">
        <v>7</v>
      </c>
      <c r="F42" s="8">
        <v>1.1299999999999999</v>
      </c>
      <c r="G42" s="12">
        <v>18</v>
      </c>
      <c r="H42" s="8">
        <v>2.1</v>
      </c>
      <c r="I42" s="12">
        <v>0</v>
      </c>
    </row>
    <row r="43" spans="2:9" ht="15" customHeight="1" x14ac:dyDescent="0.2">
      <c r="B43" t="s">
        <v>106</v>
      </c>
      <c r="C43" s="12">
        <v>24</v>
      </c>
      <c r="D43" s="8">
        <v>1.61</v>
      </c>
      <c r="E43" s="12">
        <v>7</v>
      </c>
      <c r="F43" s="8">
        <v>1.1299999999999999</v>
      </c>
      <c r="G43" s="12">
        <v>17</v>
      </c>
      <c r="H43" s="8">
        <v>1.98</v>
      </c>
      <c r="I43" s="12">
        <v>0</v>
      </c>
    </row>
    <row r="44" spans="2:9" ht="15" customHeight="1" x14ac:dyDescent="0.2">
      <c r="B44" t="s">
        <v>122</v>
      </c>
      <c r="C44" s="12">
        <v>24</v>
      </c>
      <c r="D44" s="8">
        <v>1.61</v>
      </c>
      <c r="E44" s="12">
        <v>11</v>
      </c>
      <c r="F44" s="8">
        <v>1.78</v>
      </c>
      <c r="G44" s="12">
        <v>13</v>
      </c>
      <c r="H44" s="8">
        <v>1.51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161</v>
      </c>
      <c r="C48" s="12">
        <v>54</v>
      </c>
      <c r="D48" s="8">
        <v>3.62</v>
      </c>
      <c r="E48" s="12">
        <v>16</v>
      </c>
      <c r="F48" s="8">
        <v>2.59</v>
      </c>
      <c r="G48" s="12">
        <v>38</v>
      </c>
      <c r="H48" s="8">
        <v>4.42</v>
      </c>
      <c r="I48" s="12">
        <v>0</v>
      </c>
    </row>
    <row r="49" spans="2:9" ht="15" customHeight="1" x14ac:dyDescent="0.2">
      <c r="B49" t="s">
        <v>168</v>
      </c>
      <c r="C49" s="12">
        <v>51</v>
      </c>
      <c r="D49" s="8">
        <v>3.42</v>
      </c>
      <c r="E49" s="12">
        <v>47</v>
      </c>
      <c r="F49" s="8">
        <v>7.61</v>
      </c>
      <c r="G49" s="12">
        <v>4</v>
      </c>
      <c r="H49" s="8">
        <v>0.47</v>
      </c>
      <c r="I49" s="12">
        <v>0</v>
      </c>
    </row>
    <row r="50" spans="2:9" ht="15" customHeight="1" x14ac:dyDescent="0.2">
      <c r="B50" t="s">
        <v>165</v>
      </c>
      <c r="C50" s="12">
        <v>46</v>
      </c>
      <c r="D50" s="8">
        <v>3.09</v>
      </c>
      <c r="E50" s="12">
        <v>45</v>
      </c>
      <c r="F50" s="8">
        <v>7.28</v>
      </c>
      <c r="G50" s="12">
        <v>1</v>
      </c>
      <c r="H50" s="8">
        <v>0.12</v>
      </c>
      <c r="I50" s="12">
        <v>0</v>
      </c>
    </row>
    <row r="51" spans="2:9" ht="15" customHeight="1" x14ac:dyDescent="0.2">
      <c r="B51" t="s">
        <v>154</v>
      </c>
      <c r="C51" s="12">
        <v>38</v>
      </c>
      <c r="D51" s="8">
        <v>2.5499999999999998</v>
      </c>
      <c r="E51" s="12">
        <v>10</v>
      </c>
      <c r="F51" s="8">
        <v>1.62</v>
      </c>
      <c r="G51" s="12">
        <v>28</v>
      </c>
      <c r="H51" s="8">
        <v>3.26</v>
      </c>
      <c r="I51" s="12">
        <v>0</v>
      </c>
    </row>
    <row r="52" spans="2:9" ht="15" customHeight="1" x14ac:dyDescent="0.2">
      <c r="B52" t="s">
        <v>167</v>
      </c>
      <c r="C52" s="12">
        <v>36</v>
      </c>
      <c r="D52" s="8">
        <v>2.42</v>
      </c>
      <c r="E52" s="12">
        <v>35</v>
      </c>
      <c r="F52" s="8">
        <v>5.66</v>
      </c>
      <c r="G52" s="12">
        <v>1</v>
      </c>
      <c r="H52" s="8">
        <v>0.12</v>
      </c>
      <c r="I52" s="12">
        <v>0</v>
      </c>
    </row>
    <row r="53" spans="2:9" ht="15" customHeight="1" x14ac:dyDescent="0.2">
      <c r="B53" t="s">
        <v>156</v>
      </c>
      <c r="C53" s="12">
        <v>31</v>
      </c>
      <c r="D53" s="8">
        <v>2.08</v>
      </c>
      <c r="E53" s="12">
        <v>17</v>
      </c>
      <c r="F53" s="8">
        <v>2.75</v>
      </c>
      <c r="G53" s="12">
        <v>14</v>
      </c>
      <c r="H53" s="8">
        <v>1.63</v>
      </c>
      <c r="I53" s="12">
        <v>0</v>
      </c>
    </row>
    <row r="54" spans="2:9" ht="15" customHeight="1" x14ac:dyDescent="0.2">
      <c r="B54" t="s">
        <v>163</v>
      </c>
      <c r="C54" s="12">
        <v>31</v>
      </c>
      <c r="D54" s="8">
        <v>2.08</v>
      </c>
      <c r="E54" s="12">
        <v>21</v>
      </c>
      <c r="F54" s="8">
        <v>3.4</v>
      </c>
      <c r="G54" s="12">
        <v>10</v>
      </c>
      <c r="H54" s="8">
        <v>1.1599999999999999</v>
      </c>
      <c r="I54" s="12">
        <v>0</v>
      </c>
    </row>
    <row r="55" spans="2:9" ht="15" customHeight="1" x14ac:dyDescent="0.2">
      <c r="B55" t="s">
        <v>171</v>
      </c>
      <c r="C55" s="12">
        <v>31</v>
      </c>
      <c r="D55" s="8">
        <v>2.08</v>
      </c>
      <c r="E55" s="12">
        <v>29</v>
      </c>
      <c r="F55" s="8">
        <v>4.6900000000000004</v>
      </c>
      <c r="G55" s="12">
        <v>2</v>
      </c>
      <c r="H55" s="8">
        <v>0.23</v>
      </c>
      <c r="I55" s="12">
        <v>0</v>
      </c>
    </row>
    <row r="56" spans="2:9" ht="15" customHeight="1" x14ac:dyDescent="0.2">
      <c r="B56" t="s">
        <v>170</v>
      </c>
      <c r="C56" s="12">
        <v>30</v>
      </c>
      <c r="D56" s="8">
        <v>2.0099999999999998</v>
      </c>
      <c r="E56" s="12">
        <v>25</v>
      </c>
      <c r="F56" s="8">
        <v>4.05</v>
      </c>
      <c r="G56" s="12">
        <v>4</v>
      </c>
      <c r="H56" s="8">
        <v>0.47</v>
      </c>
      <c r="I56" s="12">
        <v>1</v>
      </c>
    </row>
    <row r="57" spans="2:9" ht="15" customHeight="1" x14ac:dyDescent="0.2">
      <c r="B57" t="s">
        <v>155</v>
      </c>
      <c r="C57" s="12">
        <v>27</v>
      </c>
      <c r="D57" s="8">
        <v>1.81</v>
      </c>
      <c r="E57" s="12">
        <v>4</v>
      </c>
      <c r="F57" s="8">
        <v>0.65</v>
      </c>
      <c r="G57" s="12">
        <v>23</v>
      </c>
      <c r="H57" s="8">
        <v>2.68</v>
      </c>
      <c r="I57" s="12">
        <v>0</v>
      </c>
    </row>
    <row r="58" spans="2:9" ht="15" customHeight="1" x14ac:dyDescent="0.2">
      <c r="B58" t="s">
        <v>158</v>
      </c>
      <c r="C58" s="12">
        <v>25</v>
      </c>
      <c r="D58" s="8">
        <v>1.68</v>
      </c>
      <c r="E58" s="12">
        <v>20</v>
      </c>
      <c r="F58" s="8">
        <v>3.24</v>
      </c>
      <c r="G58" s="12">
        <v>5</v>
      </c>
      <c r="H58" s="8">
        <v>0.57999999999999996</v>
      </c>
      <c r="I58" s="12">
        <v>0</v>
      </c>
    </row>
    <row r="59" spans="2:9" ht="15" customHeight="1" x14ac:dyDescent="0.2">
      <c r="B59" t="s">
        <v>188</v>
      </c>
      <c r="C59" s="12">
        <v>24</v>
      </c>
      <c r="D59" s="8">
        <v>1.61</v>
      </c>
      <c r="E59" s="12">
        <v>11</v>
      </c>
      <c r="F59" s="8">
        <v>1.78</v>
      </c>
      <c r="G59" s="12">
        <v>13</v>
      </c>
      <c r="H59" s="8">
        <v>1.51</v>
      </c>
      <c r="I59" s="12">
        <v>0</v>
      </c>
    </row>
    <row r="60" spans="2:9" ht="15" customHeight="1" x14ac:dyDescent="0.2">
      <c r="B60" t="s">
        <v>159</v>
      </c>
      <c r="C60" s="12">
        <v>20</v>
      </c>
      <c r="D60" s="8">
        <v>1.34</v>
      </c>
      <c r="E60" s="12">
        <v>7</v>
      </c>
      <c r="F60" s="8">
        <v>1.1299999999999999</v>
      </c>
      <c r="G60" s="12">
        <v>13</v>
      </c>
      <c r="H60" s="8">
        <v>1.51</v>
      </c>
      <c r="I60" s="12">
        <v>0</v>
      </c>
    </row>
    <row r="61" spans="2:9" ht="15" customHeight="1" x14ac:dyDescent="0.2">
      <c r="B61" t="s">
        <v>160</v>
      </c>
      <c r="C61" s="12">
        <v>20</v>
      </c>
      <c r="D61" s="8">
        <v>1.34</v>
      </c>
      <c r="E61" s="12">
        <v>1</v>
      </c>
      <c r="F61" s="8">
        <v>0.16</v>
      </c>
      <c r="G61" s="12">
        <v>19</v>
      </c>
      <c r="H61" s="8">
        <v>2.21</v>
      </c>
      <c r="I61" s="12">
        <v>0</v>
      </c>
    </row>
    <row r="62" spans="2:9" ht="15" customHeight="1" x14ac:dyDescent="0.2">
      <c r="B62" t="s">
        <v>153</v>
      </c>
      <c r="C62" s="12">
        <v>19</v>
      </c>
      <c r="D62" s="8">
        <v>1.28</v>
      </c>
      <c r="E62" s="12">
        <v>1</v>
      </c>
      <c r="F62" s="8">
        <v>0.16</v>
      </c>
      <c r="G62" s="12">
        <v>18</v>
      </c>
      <c r="H62" s="8">
        <v>2.1</v>
      </c>
      <c r="I62" s="12">
        <v>0</v>
      </c>
    </row>
    <row r="63" spans="2:9" ht="15" customHeight="1" x14ac:dyDescent="0.2">
      <c r="B63" t="s">
        <v>203</v>
      </c>
      <c r="C63" s="12">
        <v>19</v>
      </c>
      <c r="D63" s="8">
        <v>1.28</v>
      </c>
      <c r="E63" s="12">
        <v>2</v>
      </c>
      <c r="F63" s="8">
        <v>0.32</v>
      </c>
      <c r="G63" s="12">
        <v>17</v>
      </c>
      <c r="H63" s="8">
        <v>1.98</v>
      </c>
      <c r="I63" s="12">
        <v>0</v>
      </c>
    </row>
    <row r="64" spans="2:9" ht="15" customHeight="1" x14ac:dyDescent="0.2">
      <c r="B64" t="s">
        <v>174</v>
      </c>
      <c r="C64" s="12">
        <v>19</v>
      </c>
      <c r="D64" s="8">
        <v>1.28</v>
      </c>
      <c r="E64" s="12">
        <v>0</v>
      </c>
      <c r="F64" s="8">
        <v>0</v>
      </c>
      <c r="G64" s="12">
        <v>19</v>
      </c>
      <c r="H64" s="8">
        <v>2.21</v>
      </c>
      <c r="I64" s="12">
        <v>0</v>
      </c>
    </row>
    <row r="65" spans="2:9" ht="15" customHeight="1" x14ac:dyDescent="0.2">
      <c r="B65" t="s">
        <v>172</v>
      </c>
      <c r="C65" s="12">
        <v>18</v>
      </c>
      <c r="D65" s="8">
        <v>1.21</v>
      </c>
      <c r="E65" s="12">
        <v>1</v>
      </c>
      <c r="F65" s="8">
        <v>0.16</v>
      </c>
      <c r="G65" s="12">
        <v>17</v>
      </c>
      <c r="H65" s="8">
        <v>1.98</v>
      </c>
      <c r="I65" s="12">
        <v>0</v>
      </c>
    </row>
    <row r="66" spans="2:9" ht="15" customHeight="1" x14ac:dyDescent="0.2">
      <c r="B66" t="s">
        <v>152</v>
      </c>
      <c r="C66" s="12">
        <v>17</v>
      </c>
      <c r="D66" s="8">
        <v>1.1399999999999999</v>
      </c>
      <c r="E66" s="12">
        <v>1</v>
      </c>
      <c r="F66" s="8">
        <v>0.16</v>
      </c>
      <c r="G66" s="12">
        <v>16</v>
      </c>
      <c r="H66" s="8">
        <v>1.86</v>
      </c>
      <c r="I66" s="12">
        <v>0</v>
      </c>
    </row>
    <row r="67" spans="2:9" ht="15" customHeight="1" x14ac:dyDescent="0.2">
      <c r="B67" t="s">
        <v>184</v>
      </c>
      <c r="C67" s="12">
        <v>17</v>
      </c>
      <c r="D67" s="8">
        <v>1.1399999999999999</v>
      </c>
      <c r="E67" s="12">
        <v>3</v>
      </c>
      <c r="F67" s="8">
        <v>0.49</v>
      </c>
      <c r="G67" s="12">
        <v>14</v>
      </c>
      <c r="H67" s="8">
        <v>1.63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9A81-D3D7-4E4D-9D28-1988DCEFE61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330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297</v>
      </c>
      <c r="D6" s="8">
        <v>16.920000000000002</v>
      </c>
      <c r="E6" s="12">
        <v>66</v>
      </c>
      <c r="F6" s="8">
        <v>8.1999999999999993</v>
      </c>
      <c r="G6" s="12">
        <v>231</v>
      </c>
      <c r="H6" s="8">
        <v>24.55</v>
      </c>
      <c r="I6" s="12">
        <v>0</v>
      </c>
    </row>
    <row r="7" spans="2:9" ht="15" customHeight="1" x14ac:dyDescent="0.2">
      <c r="B7" t="s">
        <v>73</v>
      </c>
      <c r="C7" s="12">
        <v>314</v>
      </c>
      <c r="D7" s="8">
        <v>17.89</v>
      </c>
      <c r="E7" s="12">
        <v>111</v>
      </c>
      <c r="F7" s="8">
        <v>13.79</v>
      </c>
      <c r="G7" s="12">
        <v>203</v>
      </c>
      <c r="H7" s="8">
        <v>21.57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0.11</v>
      </c>
      <c r="I8" s="12">
        <v>0</v>
      </c>
    </row>
    <row r="9" spans="2:9" ht="15" customHeight="1" x14ac:dyDescent="0.2">
      <c r="B9" t="s">
        <v>75</v>
      </c>
      <c r="C9" s="12">
        <v>10</v>
      </c>
      <c r="D9" s="8">
        <v>0.56999999999999995</v>
      </c>
      <c r="E9" s="12">
        <v>1</v>
      </c>
      <c r="F9" s="8">
        <v>0.12</v>
      </c>
      <c r="G9" s="12">
        <v>9</v>
      </c>
      <c r="H9" s="8">
        <v>0.96</v>
      </c>
      <c r="I9" s="12">
        <v>0</v>
      </c>
    </row>
    <row r="10" spans="2:9" ht="15" customHeight="1" x14ac:dyDescent="0.2">
      <c r="B10" t="s">
        <v>76</v>
      </c>
      <c r="C10" s="12">
        <v>36</v>
      </c>
      <c r="D10" s="8">
        <v>2.0499999999999998</v>
      </c>
      <c r="E10" s="12">
        <v>3</v>
      </c>
      <c r="F10" s="8">
        <v>0.37</v>
      </c>
      <c r="G10" s="12">
        <v>33</v>
      </c>
      <c r="H10" s="8">
        <v>3.51</v>
      </c>
      <c r="I10" s="12">
        <v>0</v>
      </c>
    </row>
    <row r="11" spans="2:9" ht="15" customHeight="1" x14ac:dyDescent="0.2">
      <c r="B11" t="s">
        <v>77</v>
      </c>
      <c r="C11" s="12">
        <v>328</v>
      </c>
      <c r="D11" s="8">
        <v>18.690000000000001</v>
      </c>
      <c r="E11" s="12">
        <v>136</v>
      </c>
      <c r="F11" s="8">
        <v>16.89</v>
      </c>
      <c r="G11" s="12">
        <v>192</v>
      </c>
      <c r="H11" s="8">
        <v>20.399999999999999</v>
      </c>
      <c r="I11" s="12">
        <v>0</v>
      </c>
    </row>
    <row r="12" spans="2:9" ht="15" customHeight="1" x14ac:dyDescent="0.2">
      <c r="B12" t="s">
        <v>78</v>
      </c>
      <c r="C12" s="12">
        <v>7</v>
      </c>
      <c r="D12" s="8">
        <v>0.4</v>
      </c>
      <c r="E12" s="12">
        <v>2</v>
      </c>
      <c r="F12" s="8">
        <v>0.25</v>
      </c>
      <c r="G12" s="12">
        <v>5</v>
      </c>
      <c r="H12" s="8">
        <v>0.53</v>
      </c>
      <c r="I12" s="12">
        <v>0</v>
      </c>
    </row>
    <row r="13" spans="2:9" ht="15" customHeight="1" x14ac:dyDescent="0.2">
      <c r="B13" t="s">
        <v>79</v>
      </c>
      <c r="C13" s="12">
        <v>162</v>
      </c>
      <c r="D13" s="8">
        <v>9.23</v>
      </c>
      <c r="E13" s="12">
        <v>76</v>
      </c>
      <c r="F13" s="8">
        <v>9.44</v>
      </c>
      <c r="G13" s="12">
        <v>86</v>
      </c>
      <c r="H13" s="8">
        <v>9.14</v>
      </c>
      <c r="I13" s="12">
        <v>0</v>
      </c>
    </row>
    <row r="14" spans="2:9" ht="15" customHeight="1" x14ac:dyDescent="0.2">
      <c r="B14" t="s">
        <v>80</v>
      </c>
      <c r="C14" s="12">
        <v>67</v>
      </c>
      <c r="D14" s="8">
        <v>3.82</v>
      </c>
      <c r="E14" s="12">
        <v>35</v>
      </c>
      <c r="F14" s="8">
        <v>4.3499999999999996</v>
      </c>
      <c r="G14" s="12">
        <v>32</v>
      </c>
      <c r="H14" s="8">
        <v>3.4</v>
      </c>
      <c r="I14" s="12">
        <v>0</v>
      </c>
    </row>
    <row r="15" spans="2:9" ht="15" customHeight="1" x14ac:dyDescent="0.2">
      <c r="B15" t="s">
        <v>81</v>
      </c>
      <c r="C15" s="12">
        <v>144</v>
      </c>
      <c r="D15" s="8">
        <v>8.2100000000000009</v>
      </c>
      <c r="E15" s="12">
        <v>124</v>
      </c>
      <c r="F15" s="8">
        <v>15.4</v>
      </c>
      <c r="G15" s="12">
        <v>20</v>
      </c>
      <c r="H15" s="8">
        <v>2.13</v>
      </c>
      <c r="I15" s="12">
        <v>0</v>
      </c>
    </row>
    <row r="16" spans="2:9" ht="15" customHeight="1" x14ac:dyDescent="0.2">
      <c r="B16" t="s">
        <v>82</v>
      </c>
      <c r="C16" s="12">
        <v>160</v>
      </c>
      <c r="D16" s="8">
        <v>9.1199999999999992</v>
      </c>
      <c r="E16" s="12">
        <v>121</v>
      </c>
      <c r="F16" s="8">
        <v>15.03</v>
      </c>
      <c r="G16" s="12">
        <v>39</v>
      </c>
      <c r="H16" s="8">
        <v>4.1399999999999997</v>
      </c>
      <c r="I16" s="12">
        <v>0</v>
      </c>
    </row>
    <row r="17" spans="2:9" ht="15" customHeight="1" x14ac:dyDescent="0.2">
      <c r="B17" t="s">
        <v>83</v>
      </c>
      <c r="C17" s="12">
        <v>71</v>
      </c>
      <c r="D17" s="8">
        <v>4.05</v>
      </c>
      <c r="E17" s="12">
        <v>50</v>
      </c>
      <c r="F17" s="8">
        <v>6.21</v>
      </c>
      <c r="G17" s="12">
        <v>20</v>
      </c>
      <c r="H17" s="8">
        <v>2.13</v>
      </c>
      <c r="I17" s="12">
        <v>0</v>
      </c>
    </row>
    <row r="18" spans="2:9" ht="15" customHeight="1" x14ac:dyDescent="0.2">
      <c r="B18" t="s">
        <v>84</v>
      </c>
      <c r="C18" s="12">
        <v>78</v>
      </c>
      <c r="D18" s="8">
        <v>4.4400000000000004</v>
      </c>
      <c r="E18" s="12">
        <v>44</v>
      </c>
      <c r="F18" s="8">
        <v>5.47</v>
      </c>
      <c r="G18" s="12">
        <v>26</v>
      </c>
      <c r="H18" s="8">
        <v>2.76</v>
      </c>
      <c r="I18" s="12">
        <v>0</v>
      </c>
    </row>
    <row r="19" spans="2:9" ht="15" customHeight="1" x14ac:dyDescent="0.2">
      <c r="B19" t="s">
        <v>85</v>
      </c>
      <c r="C19" s="12">
        <v>80</v>
      </c>
      <c r="D19" s="8">
        <v>4.5599999999999996</v>
      </c>
      <c r="E19" s="12">
        <v>36</v>
      </c>
      <c r="F19" s="8">
        <v>4.47</v>
      </c>
      <c r="G19" s="12">
        <v>44</v>
      </c>
      <c r="H19" s="8">
        <v>4.68</v>
      </c>
      <c r="I19" s="12">
        <v>0</v>
      </c>
    </row>
    <row r="20" spans="2:9" ht="15" customHeight="1" x14ac:dyDescent="0.2">
      <c r="B20" s="9" t="s">
        <v>277</v>
      </c>
      <c r="C20" s="12">
        <f>SUM(LTBL_23234[総数／事業所数])</f>
        <v>1755</v>
      </c>
      <c r="E20" s="12">
        <f>SUBTOTAL(109,LTBL_23234[個人／事業所数])</f>
        <v>805</v>
      </c>
      <c r="G20" s="12">
        <f>SUBTOTAL(109,LTBL_23234[法人／事業所数])</f>
        <v>941</v>
      </c>
      <c r="I20" s="12">
        <f>SUBTOTAL(109,LTBL_23234[法人以外の団体／事業所数])</f>
        <v>0</v>
      </c>
    </row>
    <row r="21" spans="2:9" ht="15" customHeight="1" x14ac:dyDescent="0.2">
      <c r="E21" s="11">
        <f>LTBL_23234[[#Totals],[個人／事業所数]]/LTBL_23234[[#Totals],[総数／事業所数]]</f>
        <v>0.45868945868945871</v>
      </c>
      <c r="G21" s="11">
        <f>LTBL_23234[[#Totals],[法人／事業所数]]/LTBL_23234[[#Totals],[総数／事業所数]]</f>
        <v>0.53618233618233613</v>
      </c>
      <c r="I21" s="11">
        <f>LTBL_23234[[#Totals],[法人以外の団体／事業所数]]/LTBL_23234[[#Totals],[総数／事業所数]]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140</v>
      </c>
      <c r="D24" s="8">
        <v>7.98</v>
      </c>
      <c r="E24" s="12">
        <v>74</v>
      </c>
      <c r="F24" s="8">
        <v>9.19</v>
      </c>
      <c r="G24" s="12">
        <v>66</v>
      </c>
      <c r="H24" s="8">
        <v>7.01</v>
      </c>
      <c r="I24" s="12">
        <v>0</v>
      </c>
    </row>
    <row r="25" spans="2:9" ht="15" customHeight="1" x14ac:dyDescent="0.2">
      <c r="B25" t="s">
        <v>110</v>
      </c>
      <c r="C25" s="12">
        <v>134</v>
      </c>
      <c r="D25" s="8">
        <v>7.64</v>
      </c>
      <c r="E25" s="12">
        <v>123</v>
      </c>
      <c r="F25" s="8">
        <v>15.28</v>
      </c>
      <c r="G25" s="12">
        <v>11</v>
      </c>
      <c r="H25" s="8">
        <v>1.17</v>
      </c>
      <c r="I25" s="12">
        <v>0</v>
      </c>
    </row>
    <row r="26" spans="2:9" ht="15" customHeight="1" x14ac:dyDescent="0.2">
      <c r="B26" t="s">
        <v>111</v>
      </c>
      <c r="C26" s="12">
        <v>132</v>
      </c>
      <c r="D26" s="8">
        <v>7.52</v>
      </c>
      <c r="E26" s="12">
        <v>108</v>
      </c>
      <c r="F26" s="8">
        <v>13.42</v>
      </c>
      <c r="G26" s="12">
        <v>24</v>
      </c>
      <c r="H26" s="8">
        <v>2.5499999999999998</v>
      </c>
      <c r="I26" s="12">
        <v>0</v>
      </c>
    </row>
    <row r="27" spans="2:9" ht="15" customHeight="1" x14ac:dyDescent="0.2">
      <c r="B27" t="s">
        <v>95</v>
      </c>
      <c r="C27" s="12">
        <v>122</v>
      </c>
      <c r="D27" s="8">
        <v>6.95</v>
      </c>
      <c r="E27" s="12">
        <v>33</v>
      </c>
      <c r="F27" s="8">
        <v>4.0999999999999996</v>
      </c>
      <c r="G27" s="12">
        <v>89</v>
      </c>
      <c r="H27" s="8">
        <v>9.4600000000000009</v>
      </c>
      <c r="I27" s="12">
        <v>0</v>
      </c>
    </row>
    <row r="28" spans="2:9" ht="15" customHeight="1" x14ac:dyDescent="0.2">
      <c r="B28" t="s">
        <v>96</v>
      </c>
      <c r="C28" s="12">
        <v>96</v>
      </c>
      <c r="D28" s="8">
        <v>5.47</v>
      </c>
      <c r="E28" s="12">
        <v>16</v>
      </c>
      <c r="F28" s="8">
        <v>1.99</v>
      </c>
      <c r="G28" s="12">
        <v>80</v>
      </c>
      <c r="H28" s="8">
        <v>8.5</v>
      </c>
      <c r="I28" s="12">
        <v>0</v>
      </c>
    </row>
    <row r="29" spans="2:9" ht="15" customHeight="1" x14ac:dyDescent="0.2">
      <c r="B29" t="s">
        <v>94</v>
      </c>
      <c r="C29" s="12">
        <v>79</v>
      </c>
      <c r="D29" s="8">
        <v>4.5</v>
      </c>
      <c r="E29" s="12">
        <v>17</v>
      </c>
      <c r="F29" s="8">
        <v>2.11</v>
      </c>
      <c r="G29" s="12">
        <v>62</v>
      </c>
      <c r="H29" s="8">
        <v>6.59</v>
      </c>
      <c r="I29" s="12">
        <v>0</v>
      </c>
    </row>
    <row r="30" spans="2:9" ht="15" customHeight="1" x14ac:dyDescent="0.2">
      <c r="B30" t="s">
        <v>105</v>
      </c>
      <c r="C30" s="12">
        <v>79</v>
      </c>
      <c r="D30" s="8">
        <v>4.5</v>
      </c>
      <c r="E30" s="12">
        <v>42</v>
      </c>
      <c r="F30" s="8">
        <v>5.22</v>
      </c>
      <c r="G30" s="12">
        <v>37</v>
      </c>
      <c r="H30" s="8">
        <v>3.93</v>
      </c>
      <c r="I30" s="12">
        <v>0</v>
      </c>
    </row>
    <row r="31" spans="2:9" ht="15" customHeight="1" x14ac:dyDescent="0.2">
      <c r="B31" t="s">
        <v>112</v>
      </c>
      <c r="C31" s="12">
        <v>71</v>
      </c>
      <c r="D31" s="8">
        <v>4.05</v>
      </c>
      <c r="E31" s="12">
        <v>50</v>
      </c>
      <c r="F31" s="8">
        <v>6.21</v>
      </c>
      <c r="G31" s="12">
        <v>20</v>
      </c>
      <c r="H31" s="8">
        <v>2.13</v>
      </c>
      <c r="I31" s="12">
        <v>0</v>
      </c>
    </row>
    <row r="32" spans="2:9" ht="15" customHeight="1" x14ac:dyDescent="0.2">
      <c r="B32" t="s">
        <v>104</v>
      </c>
      <c r="C32" s="12">
        <v>67</v>
      </c>
      <c r="D32" s="8">
        <v>3.82</v>
      </c>
      <c r="E32" s="12">
        <v>34</v>
      </c>
      <c r="F32" s="8">
        <v>4.22</v>
      </c>
      <c r="G32" s="12">
        <v>33</v>
      </c>
      <c r="H32" s="8">
        <v>3.51</v>
      </c>
      <c r="I32" s="12">
        <v>0</v>
      </c>
    </row>
    <row r="33" spans="2:9" ht="15" customHeight="1" x14ac:dyDescent="0.2">
      <c r="B33" t="s">
        <v>113</v>
      </c>
      <c r="C33" s="12">
        <v>53</v>
      </c>
      <c r="D33" s="8">
        <v>3.02</v>
      </c>
      <c r="E33" s="12">
        <v>44</v>
      </c>
      <c r="F33" s="8">
        <v>5.47</v>
      </c>
      <c r="G33" s="12">
        <v>9</v>
      </c>
      <c r="H33" s="8">
        <v>0.96</v>
      </c>
      <c r="I33" s="12">
        <v>0</v>
      </c>
    </row>
    <row r="34" spans="2:9" ht="15" customHeight="1" x14ac:dyDescent="0.2">
      <c r="B34" t="s">
        <v>97</v>
      </c>
      <c r="C34" s="12">
        <v>47</v>
      </c>
      <c r="D34" s="8">
        <v>2.68</v>
      </c>
      <c r="E34" s="12">
        <v>14</v>
      </c>
      <c r="F34" s="8">
        <v>1.74</v>
      </c>
      <c r="G34" s="12">
        <v>33</v>
      </c>
      <c r="H34" s="8">
        <v>3.51</v>
      </c>
      <c r="I34" s="12">
        <v>0</v>
      </c>
    </row>
    <row r="35" spans="2:9" ht="15" customHeight="1" x14ac:dyDescent="0.2">
      <c r="B35" t="s">
        <v>125</v>
      </c>
      <c r="C35" s="12">
        <v>41</v>
      </c>
      <c r="D35" s="8">
        <v>2.34</v>
      </c>
      <c r="E35" s="12">
        <v>25</v>
      </c>
      <c r="F35" s="8">
        <v>3.11</v>
      </c>
      <c r="G35" s="12">
        <v>16</v>
      </c>
      <c r="H35" s="8">
        <v>1.7</v>
      </c>
      <c r="I35" s="12">
        <v>0</v>
      </c>
    </row>
    <row r="36" spans="2:9" ht="15" customHeight="1" x14ac:dyDescent="0.2">
      <c r="B36" t="s">
        <v>98</v>
      </c>
      <c r="C36" s="12">
        <v>39</v>
      </c>
      <c r="D36" s="8">
        <v>2.2200000000000002</v>
      </c>
      <c r="E36" s="12">
        <v>11</v>
      </c>
      <c r="F36" s="8">
        <v>1.37</v>
      </c>
      <c r="G36" s="12">
        <v>28</v>
      </c>
      <c r="H36" s="8">
        <v>2.98</v>
      </c>
      <c r="I36" s="12">
        <v>0</v>
      </c>
    </row>
    <row r="37" spans="2:9" ht="15" customHeight="1" x14ac:dyDescent="0.2">
      <c r="B37" t="s">
        <v>109</v>
      </c>
      <c r="C37" s="12">
        <v>38</v>
      </c>
      <c r="D37" s="8">
        <v>2.17</v>
      </c>
      <c r="E37" s="12">
        <v>15</v>
      </c>
      <c r="F37" s="8">
        <v>1.86</v>
      </c>
      <c r="G37" s="12">
        <v>23</v>
      </c>
      <c r="H37" s="8">
        <v>2.44</v>
      </c>
      <c r="I37" s="12">
        <v>0</v>
      </c>
    </row>
    <row r="38" spans="2:9" ht="15" customHeight="1" x14ac:dyDescent="0.2">
      <c r="B38" t="s">
        <v>99</v>
      </c>
      <c r="C38" s="12">
        <v>34</v>
      </c>
      <c r="D38" s="8">
        <v>1.94</v>
      </c>
      <c r="E38" s="12">
        <v>8</v>
      </c>
      <c r="F38" s="8">
        <v>0.99</v>
      </c>
      <c r="G38" s="12">
        <v>26</v>
      </c>
      <c r="H38" s="8">
        <v>2.76</v>
      </c>
      <c r="I38" s="12">
        <v>0</v>
      </c>
    </row>
    <row r="39" spans="2:9" ht="15" customHeight="1" x14ac:dyDescent="0.2">
      <c r="B39" t="s">
        <v>103</v>
      </c>
      <c r="C39" s="12">
        <v>34</v>
      </c>
      <c r="D39" s="8">
        <v>1.94</v>
      </c>
      <c r="E39" s="12">
        <v>24</v>
      </c>
      <c r="F39" s="8">
        <v>2.98</v>
      </c>
      <c r="G39" s="12">
        <v>10</v>
      </c>
      <c r="H39" s="8">
        <v>1.06</v>
      </c>
      <c r="I39" s="12">
        <v>0</v>
      </c>
    </row>
    <row r="40" spans="2:9" ht="15" customHeight="1" x14ac:dyDescent="0.2">
      <c r="B40" t="s">
        <v>131</v>
      </c>
      <c r="C40" s="12">
        <v>33</v>
      </c>
      <c r="D40" s="8">
        <v>1.88</v>
      </c>
      <c r="E40" s="12">
        <v>7</v>
      </c>
      <c r="F40" s="8">
        <v>0.87</v>
      </c>
      <c r="G40" s="12">
        <v>26</v>
      </c>
      <c r="H40" s="8">
        <v>2.76</v>
      </c>
      <c r="I40" s="12">
        <v>0</v>
      </c>
    </row>
    <row r="41" spans="2:9" ht="15" customHeight="1" x14ac:dyDescent="0.2">
      <c r="B41" t="s">
        <v>122</v>
      </c>
      <c r="C41" s="12">
        <v>33</v>
      </c>
      <c r="D41" s="8">
        <v>1.88</v>
      </c>
      <c r="E41" s="12">
        <v>24</v>
      </c>
      <c r="F41" s="8">
        <v>2.98</v>
      </c>
      <c r="G41" s="12">
        <v>9</v>
      </c>
      <c r="H41" s="8">
        <v>0.96</v>
      </c>
      <c r="I41" s="12">
        <v>0</v>
      </c>
    </row>
    <row r="42" spans="2:9" ht="15" customHeight="1" x14ac:dyDescent="0.2">
      <c r="B42" t="s">
        <v>100</v>
      </c>
      <c r="C42" s="12">
        <v>30</v>
      </c>
      <c r="D42" s="8">
        <v>1.71</v>
      </c>
      <c r="E42" s="12">
        <v>6</v>
      </c>
      <c r="F42" s="8">
        <v>0.75</v>
      </c>
      <c r="G42" s="12">
        <v>24</v>
      </c>
      <c r="H42" s="8">
        <v>2.5499999999999998</v>
      </c>
      <c r="I42" s="12">
        <v>0</v>
      </c>
    </row>
    <row r="43" spans="2:9" ht="15" customHeight="1" x14ac:dyDescent="0.2">
      <c r="B43" t="s">
        <v>108</v>
      </c>
      <c r="C43" s="12">
        <v>29</v>
      </c>
      <c r="D43" s="8">
        <v>1.65</v>
      </c>
      <c r="E43" s="12">
        <v>20</v>
      </c>
      <c r="F43" s="8">
        <v>2.48</v>
      </c>
      <c r="G43" s="12">
        <v>9</v>
      </c>
      <c r="H43" s="8">
        <v>0.96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101</v>
      </c>
      <c r="D47" s="8">
        <v>5.75</v>
      </c>
      <c r="E47" s="12">
        <v>60</v>
      </c>
      <c r="F47" s="8">
        <v>7.45</v>
      </c>
      <c r="G47" s="12">
        <v>41</v>
      </c>
      <c r="H47" s="8">
        <v>4.3600000000000003</v>
      </c>
      <c r="I47" s="12">
        <v>0</v>
      </c>
    </row>
    <row r="48" spans="2:9" ht="15" customHeight="1" x14ac:dyDescent="0.2">
      <c r="B48" t="s">
        <v>168</v>
      </c>
      <c r="C48" s="12">
        <v>64</v>
      </c>
      <c r="D48" s="8">
        <v>3.65</v>
      </c>
      <c r="E48" s="12">
        <v>56</v>
      </c>
      <c r="F48" s="8">
        <v>6.96</v>
      </c>
      <c r="G48" s="12">
        <v>8</v>
      </c>
      <c r="H48" s="8">
        <v>0.85</v>
      </c>
      <c r="I48" s="12">
        <v>0</v>
      </c>
    </row>
    <row r="49" spans="2:9" ht="15" customHeight="1" x14ac:dyDescent="0.2">
      <c r="B49" t="s">
        <v>165</v>
      </c>
      <c r="C49" s="12">
        <v>47</v>
      </c>
      <c r="D49" s="8">
        <v>2.68</v>
      </c>
      <c r="E49" s="12">
        <v>41</v>
      </c>
      <c r="F49" s="8">
        <v>5.09</v>
      </c>
      <c r="G49" s="12">
        <v>6</v>
      </c>
      <c r="H49" s="8">
        <v>0.64</v>
      </c>
      <c r="I49" s="12">
        <v>0</v>
      </c>
    </row>
    <row r="50" spans="2:9" ht="15" customHeight="1" x14ac:dyDescent="0.2">
      <c r="B50" t="s">
        <v>156</v>
      </c>
      <c r="C50" s="12">
        <v>44</v>
      </c>
      <c r="D50" s="8">
        <v>2.5099999999999998</v>
      </c>
      <c r="E50" s="12">
        <v>19</v>
      </c>
      <c r="F50" s="8">
        <v>2.36</v>
      </c>
      <c r="G50" s="12">
        <v>25</v>
      </c>
      <c r="H50" s="8">
        <v>2.66</v>
      </c>
      <c r="I50" s="12">
        <v>0</v>
      </c>
    </row>
    <row r="51" spans="2:9" ht="15" customHeight="1" x14ac:dyDescent="0.2">
      <c r="B51" t="s">
        <v>171</v>
      </c>
      <c r="C51" s="12">
        <v>44</v>
      </c>
      <c r="D51" s="8">
        <v>2.5099999999999998</v>
      </c>
      <c r="E51" s="12">
        <v>37</v>
      </c>
      <c r="F51" s="8">
        <v>4.5999999999999996</v>
      </c>
      <c r="G51" s="12">
        <v>7</v>
      </c>
      <c r="H51" s="8">
        <v>0.74</v>
      </c>
      <c r="I51" s="12">
        <v>0</v>
      </c>
    </row>
    <row r="52" spans="2:9" ht="15" customHeight="1" x14ac:dyDescent="0.2">
      <c r="B52" t="s">
        <v>170</v>
      </c>
      <c r="C52" s="12">
        <v>43</v>
      </c>
      <c r="D52" s="8">
        <v>2.4500000000000002</v>
      </c>
      <c r="E52" s="12">
        <v>31</v>
      </c>
      <c r="F52" s="8">
        <v>3.85</v>
      </c>
      <c r="G52" s="12">
        <v>12</v>
      </c>
      <c r="H52" s="8">
        <v>1.28</v>
      </c>
      <c r="I52" s="12">
        <v>0</v>
      </c>
    </row>
    <row r="53" spans="2:9" ht="15" customHeight="1" x14ac:dyDescent="0.2">
      <c r="B53" t="s">
        <v>154</v>
      </c>
      <c r="C53" s="12">
        <v>40</v>
      </c>
      <c r="D53" s="8">
        <v>2.2799999999999998</v>
      </c>
      <c r="E53" s="12">
        <v>10</v>
      </c>
      <c r="F53" s="8">
        <v>1.24</v>
      </c>
      <c r="G53" s="12">
        <v>30</v>
      </c>
      <c r="H53" s="8">
        <v>3.19</v>
      </c>
      <c r="I53" s="12">
        <v>0</v>
      </c>
    </row>
    <row r="54" spans="2:9" ht="15" customHeight="1" x14ac:dyDescent="0.2">
      <c r="B54" t="s">
        <v>167</v>
      </c>
      <c r="C54" s="12">
        <v>36</v>
      </c>
      <c r="D54" s="8">
        <v>2.0499999999999998</v>
      </c>
      <c r="E54" s="12">
        <v>35</v>
      </c>
      <c r="F54" s="8">
        <v>4.3499999999999996</v>
      </c>
      <c r="G54" s="12">
        <v>1</v>
      </c>
      <c r="H54" s="8">
        <v>0.11</v>
      </c>
      <c r="I54" s="12">
        <v>0</v>
      </c>
    </row>
    <row r="55" spans="2:9" ht="15" customHeight="1" x14ac:dyDescent="0.2">
      <c r="B55" t="s">
        <v>155</v>
      </c>
      <c r="C55" s="12">
        <v>35</v>
      </c>
      <c r="D55" s="8">
        <v>1.99</v>
      </c>
      <c r="E55" s="12">
        <v>3</v>
      </c>
      <c r="F55" s="8">
        <v>0.37</v>
      </c>
      <c r="G55" s="12">
        <v>32</v>
      </c>
      <c r="H55" s="8">
        <v>3.4</v>
      </c>
      <c r="I55" s="12">
        <v>0</v>
      </c>
    </row>
    <row r="56" spans="2:9" ht="15" customHeight="1" x14ac:dyDescent="0.2">
      <c r="B56" t="s">
        <v>188</v>
      </c>
      <c r="C56" s="12">
        <v>33</v>
      </c>
      <c r="D56" s="8">
        <v>1.88</v>
      </c>
      <c r="E56" s="12">
        <v>24</v>
      </c>
      <c r="F56" s="8">
        <v>2.98</v>
      </c>
      <c r="G56" s="12">
        <v>9</v>
      </c>
      <c r="H56" s="8">
        <v>0.96</v>
      </c>
      <c r="I56" s="12">
        <v>0</v>
      </c>
    </row>
    <row r="57" spans="2:9" ht="15" customHeight="1" x14ac:dyDescent="0.2">
      <c r="B57" t="s">
        <v>163</v>
      </c>
      <c r="C57" s="12">
        <v>28</v>
      </c>
      <c r="D57" s="8">
        <v>1.6</v>
      </c>
      <c r="E57" s="12">
        <v>26</v>
      </c>
      <c r="F57" s="8">
        <v>3.23</v>
      </c>
      <c r="G57" s="12">
        <v>2</v>
      </c>
      <c r="H57" s="8">
        <v>0.21</v>
      </c>
      <c r="I57" s="12">
        <v>0</v>
      </c>
    </row>
    <row r="58" spans="2:9" ht="15" customHeight="1" x14ac:dyDescent="0.2">
      <c r="B58" t="s">
        <v>184</v>
      </c>
      <c r="C58" s="12">
        <v>26</v>
      </c>
      <c r="D58" s="8">
        <v>1.48</v>
      </c>
      <c r="E58" s="12">
        <v>6</v>
      </c>
      <c r="F58" s="8">
        <v>0.75</v>
      </c>
      <c r="G58" s="12">
        <v>20</v>
      </c>
      <c r="H58" s="8">
        <v>2.13</v>
      </c>
      <c r="I58" s="12">
        <v>0</v>
      </c>
    </row>
    <row r="59" spans="2:9" ht="15" customHeight="1" x14ac:dyDescent="0.2">
      <c r="B59" t="s">
        <v>169</v>
      </c>
      <c r="C59" s="12">
        <v>26</v>
      </c>
      <c r="D59" s="8">
        <v>1.48</v>
      </c>
      <c r="E59" s="12">
        <v>19</v>
      </c>
      <c r="F59" s="8">
        <v>2.36</v>
      </c>
      <c r="G59" s="12">
        <v>7</v>
      </c>
      <c r="H59" s="8">
        <v>0.74</v>
      </c>
      <c r="I59" s="12">
        <v>0</v>
      </c>
    </row>
    <row r="60" spans="2:9" ht="15" customHeight="1" x14ac:dyDescent="0.2">
      <c r="B60" t="s">
        <v>153</v>
      </c>
      <c r="C60" s="12">
        <v>25</v>
      </c>
      <c r="D60" s="8">
        <v>1.42</v>
      </c>
      <c r="E60" s="12">
        <v>4</v>
      </c>
      <c r="F60" s="8">
        <v>0.5</v>
      </c>
      <c r="G60" s="12">
        <v>21</v>
      </c>
      <c r="H60" s="8">
        <v>2.23</v>
      </c>
      <c r="I60" s="12">
        <v>0</v>
      </c>
    </row>
    <row r="61" spans="2:9" ht="15" customHeight="1" x14ac:dyDescent="0.2">
      <c r="B61" t="s">
        <v>200</v>
      </c>
      <c r="C61" s="12">
        <v>25</v>
      </c>
      <c r="D61" s="8">
        <v>1.42</v>
      </c>
      <c r="E61" s="12">
        <v>5</v>
      </c>
      <c r="F61" s="8">
        <v>0.62</v>
      </c>
      <c r="G61" s="12">
        <v>20</v>
      </c>
      <c r="H61" s="8">
        <v>2.13</v>
      </c>
      <c r="I61" s="12">
        <v>0</v>
      </c>
    </row>
    <row r="62" spans="2:9" ht="15" customHeight="1" x14ac:dyDescent="0.2">
      <c r="B62" t="s">
        <v>164</v>
      </c>
      <c r="C62" s="12">
        <v>25</v>
      </c>
      <c r="D62" s="8">
        <v>1.42</v>
      </c>
      <c r="E62" s="12">
        <v>25</v>
      </c>
      <c r="F62" s="8">
        <v>3.11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196</v>
      </c>
      <c r="C63" s="12">
        <v>24</v>
      </c>
      <c r="D63" s="8">
        <v>1.37</v>
      </c>
      <c r="E63" s="12">
        <v>6</v>
      </c>
      <c r="F63" s="8">
        <v>0.75</v>
      </c>
      <c r="G63" s="12">
        <v>18</v>
      </c>
      <c r="H63" s="8">
        <v>1.91</v>
      </c>
      <c r="I63" s="12">
        <v>0</v>
      </c>
    </row>
    <row r="64" spans="2:9" ht="15" customHeight="1" x14ac:dyDescent="0.2">
      <c r="B64" t="s">
        <v>162</v>
      </c>
      <c r="C64" s="12">
        <v>24</v>
      </c>
      <c r="D64" s="8">
        <v>1.37</v>
      </c>
      <c r="E64" s="12">
        <v>10</v>
      </c>
      <c r="F64" s="8">
        <v>1.24</v>
      </c>
      <c r="G64" s="12">
        <v>14</v>
      </c>
      <c r="H64" s="8">
        <v>1.49</v>
      </c>
      <c r="I64" s="12">
        <v>0</v>
      </c>
    </row>
    <row r="65" spans="2:9" ht="15" customHeight="1" x14ac:dyDescent="0.2">
      <c r="B65" t="s">
        <v>204</v>
      </c>
      <c r="C65" s="12">
        <v>23</v>
      </c>
      <c r="D65" s="8">
        <v>1.31</v>
      </c>
      <c r="E65" s="12">
        <v>7</v>
      </c>
      <c r="F65" s="8">
        <v>0.87</v>
      </c>
      <c r="G65" s="12">
        <v>16</v>
      </c>
      <c r="H65" s="8">
        <v>1.7</v>
      </c>
      <c r="I65" s="12">
        <v>0</v>
      </c>
    </row>
    <row r="66" spans="2:9" ht="15" customHeight="1" x14ac:dyDescent="0.2">
      <c r="B66" t="s">
        <v>158</v>
      </c>
      <c r="C66" s="12">
        <v>22</v>
      </c>
      <c r="D66" s="8">
        <v>1.25</v>
      </c>
      <c r="E66" s="12">
        <v>15</v>
      </c>
      <c r="F66" s="8">
        <v>1.86</v>
      </c>
      <c r="G66" s="12">
        <v>7</v>
      </c>
      <c r="H66" s="8">
        <v>0.74</v>
      </c>
      <c r="I66" s="12">
        <v>0</v>
      </c>
    </row>
    <row r="67" spans="2:9" ht="15" customHeight="1" x14ac:dyDescent="0.2">
      <c r="B67" t="s">
        <v>166</v>
      </c>
      <c r="C67" s="12">
        <v>22</v>
      </c>
      <c r="D67" s="8">
        <v>1.25</v>
      </c>
      <c r="E67" s="12">
        <v>13</v>
      </c>
      <c r="F67" s="8">
        <v>1.61</v>
      </c>
      <c r="G67" s="12">
        <v>9</v>
      </c>
      <c r="H67" s="8">
        <v>0.96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6C89-9B5C-437A-8011-386B88BC0FC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331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135</v>
      </c>
      <c r="D6" s="8">
        <v>13.22</v>
      </c>
      <c r="E6" s="12">
        <v>47</v>
      </c>
      <c r="F6" s="8">
        <v>9.27</v>
      </c>
      <c r="G6" s="12">
        <v>88</v>
      </c>
      <c r="H6" s="8">
        <v>17.96</v>
      </c>
      <c r="I6" s="12">
        <v>0</v>
      </c>
    </row>
    <row r="7" spans="2:9" ht="15" customHeight="1" x14ac:dyDescent="0.2">
      <c r="B7" t="s">
        <v>73</v>
      </c>
      <c r="C7" s="12">
        <v>178</v>
      </c>
      <c r="D7" s="8">
        <v>17.43</v>
      </c>
      <c r="E7" s="12">
        <v>59</v>
      </c>
      <c r="F7" s="8">
        <v>11.64</v>
      </c>
      <c r="G7" s="12">
        <v>119</v>
      </c>
      <c r="H7" s="8">
        <v>24.29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6</v>
      </c>
      <c r="D9" s="8">
        <v>0.59</v>
      </c>
      <c r="E9" s="12">
        <v>0</v>
      </c>
      <c r="F9" s="8">
        <v>0</v>
      </c>
      <c r="G9" s="12">
        <v>6</v>
      </c>
      <c r="H9" s="8">
        <v>1.22</v>
      </c>
      <c r="I9" s="12">
        <v>0</v>
      </c>
    </row>
    <row r="10" spans="2:9" ht="15" customHeight="1" x14ac:dyDescent="0.2">
      <c r="B10" t="s">
        <v>76</v>
      </c>
      <c r="C10" s="12">
        <v>36</v>
      </c>
      <c r="D10" s="8">
        <v>3.53</v>
      </c>
      <c r="E10" s="12">
        <v>0</v>
      </c>
      <c r="F10" s="8">
        <v>0</v>
      </c>
      <c r="G10" s="12">
        <v>36</v>
      </c>
      <c r="H10" s="8">
        <v>7.35</v>
      </c>
      <c r="I10" s="12">
        <v>0</v>
      </c>
    </row>
    <row r="11" spans="2:9" ht="15" customHeight="1" x14ac:dyDescent="0.2">
      <c r="B11" t="s">
        <v>77</v>
      </c>
      <c r="C11" s="12">
        <v>192</v>
      </c>
      <c r="D11" s="8">
        <v>18.809999999999999</v>
      </c>
      <c r="E11" s="12">
        <v>89</v>
      </c>
      <c r="F11" s="8">
        <v>17.55</v>
      </c>
      <c r="G11" s="12">
        <v>103</v>
      </c>
      <c r="H11" s="8">
        <v>21.02</v>
      </c>
      <c r="I11" s="12">
        <v>0</v>
      </c>
    </row>
    <row r="12" spans="2:9" ht="15" customHeight="1" x14ac:dyDescent="0.2">
      <c r="B12" t="s">
        <v>78</v>
      </c>
      <c r="C12" s="12">
        <v>4</v>
      </c>
      <c r="D12" s="8">
        <v>0.39</v>
      </c>
      <c r="E12" s="12">
        <v>0</v>
      </c>
      <c r="F12" s="8">
        <v>0</v>
      </c>
      <c r="G12" s="12">
        <v>4</v>
      </c>
      <c r="H12" s="8">
        <v>0.82</v>
      </c>
      <c r="I12" s="12">
        <v>0</v>
      </c>
    </row>
    <row r="13" spans="2:9" ht="15" customHeight="1" x14ac:dyDescent="0.2">
      <c r="B13" t="s">
        <v>79</v>
      </c>
      <c r="C13" s="12">
        <v>81</v>
      </c>
      <c r="D13" s="8">
        <v>7.93</v>
      </c>
      <c r="E13" s="12">
        <v>44</v>
      </c>
      <c r="F13" s="8">
        <v>8.68</v>
      </c>
      <c r="G13" s="12">
        <v>37</v>
      </c>
      <c r="H13" s="8">
        <v>7.55</v>
      </c>
      <c r="I13" s="12">
        <v>0</v>
      </c>
    </row>
    <row r="14" spans="2:9" ht="15" customHeight="1" x14ac:dyDescent="0.2">
      <c r="B14" t="s">
        <v>80</v>
      </c>
      <c r="C14" s="12">
        <v>32</v>
      </c>
      <c r="D14" s="8">
        <v>3.13</v>
      </c>
      <c r="E14" s="12">
        <v>21</v>
      </c>
      <c r="F14" s="8">
        <v>4.1399999999999997</v>
      </c>
      <c r="G14" s="12">
        <v>9</v>
      </c>
      <c r="H14" s="8">
        <v>1.84</v>
      </c>
      <c r="I14" s="12">
        <v>0</v>
      </c>
    </row>
    <row r="15" spans="2:9" ht="15" customHeight="1" x14ac:dyDescent="0.2">
      <c r="B15" t="s">
        <v>81</v>
      </c>
      <c r="C15" s="12">
        <v>89</v>
      </c>
      <c r="D15" s="8">
        <v>8.7200000000000006</v>
      </c>
      <c r="E15" s="12">
        <v>61</v>
      </c>
      <c r="F15" s="8">
        <v>12.03</v>
      </c>
      <c r="G15" s="12">
        <v>27</v>
      </c>
      <c r="H15" s="8">
        <v>5.51</v>
      </c>
      <c r="I15" s="12">
        <v>0</v>
      </c>
    </row>
    <row r="16" spans="2:9" ht="15" customHeight="1" x14ac:dyDescent="0.2">
      <c r="B16" t="s">
        <v>82</v>
      </c>
      <c r="C16" s="12">
        <v>131</v>
      </c>
      <c r="D16" s="8">
        <v>12.83</v>
      </c>
      <c r="E16" s="12">
        <v>109</v>
      </c>
      <c r="F16" s="8">
        <v>21.5</v>
      </c>
      <c r="G16" s="12">
        <v>22</v>
      </c>
      <c r="H16" s="8">
        <v>4.49</v>
      </c>
      <c r="I16" s="12">
        <v>0</v>
      </c>
    </row>
    <row r="17" spans="2:9" ht="15" customHeight="1" x14ac:dyDescent="0.2">
      <c r="B17" t="s">
        <v>83</v>
      </c>
      <c r="C17" s="12">
        <v>46</v>
      </c>
      <c r="D17" s="8">
        <v>4.51</v>
      </c>
      <c r="E17" s="12">
        <v>36</v>
      </c>
      <c r="F17" s="8">
        <v>7.1</v>
      </c>
      <c r="G17" s="12">
        <v>7</v>
      </c>
      <c r="H17" s="8">
        <v>1.43</v>
      </c>
      <c r="I17" s="12">
        <v>0</v>
      </c>
    </row>
    <row r="18" spans="2:9" ht="15" customHeight="1" x14ac:dyDescent="0.2">
      <c r="B18" t="s">
        <v>84</v>
      </c>
      <c r="C18" s="12">
        <v>47</v>
      </c>
      <c r="D18" s="8">
        <v>4.5999999999999996</v>
      </c>
      <c r="E18" s="12">
        <v>24</v>
      </c>
      <c r="F18" s="8">
        <v>4.7300000000000004</v>
      </c>
      <c r="G18" s="12">
        <v>10</v>
      </c>
      <c r="H18" s="8">
        <v>2.04</v>
      </c>
      <c r="I18" s="12">
        <v>0</v>
      </c>
    </row>
    <row r="19" spans="2:9" ht="15" customHeight="1" x14ac:dyDescent="0.2">
      <c r="B19" t="s">
        <v>85</v>
      </c>
      <c r="C19" s="12">
        <v>44</v>
      </c>
      <c r="D19" s="8">
        <v>4.3099999999999996</v>
      </c>
      <c r="E19" s="12">
        <v>17</v>
      </c>
      <c r="F19" s="8">
        <v>3.35</v>
      </c>
      <c r="G19" s="12">
        <v>22</v>
      </c>
      <c r="H19" s="8">
        <v>4.49</v>
      </c>
      <c r="I19" s="12">
        <v>0</v>
      </c>
    </row>
    <row r="20" spans="2:9" ht="15" customHeight="1" x14ac:dyDescent="0.2">
      <c r="B20" s="9" t="s">
        <v>277</v>
      </c>
      <c r="C20" s="12">
        <f>SUM(LTBL_23235[総数／事業所数])</f>
        <v>1021</v>
      </c>
      <c r="E20" s="12">
        <f>SUBTOTAL(109,LTBL_23235[個人／事業所数])</f>
        <v>507</v>
      </c>
      <c r="G20" s="12">
        <f>SUBTOTAL(109,LTBL_23235[法人／事業所数])</f>
        <v>490</v>
      </c>
      <c r="I20" s="12">
        <f>SUBTOTAL(109,LTBL_23235[法人以外の団体／事業所数])</f>
        <v>0</v>
      </c>
    </row>
    <row r="21" spans="2:9" ht="15" customHeight="1" x14ac:dyDescent="0.2">
      <c r="E21" s="11">
        <f>LTBL_23235[[#Totals],[個人／事業所数]]/LTBL_23235[[#Totals],[総数／事業所数]]</f>
        <v>0.49657198824681686</v>
      </c>
      <c r="G21" s="11">
        <f>LTBL_23235[[#Totals],[法人／事業所数]]/LTBL_23235[[#Totals],[総数／事業所数]]</f>
        <v>0.47992164544564153</v>
      </c>
      <c r="I21" s="11">
        <f>LTBL_23235[[#Totals],[法人以外の団体／事業所数]]/LTBL_23235[[#Totals],[総数／事業所数]]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70</v>
      </c>
      <c r="D24" s="8">
        <v>6.86</v>
      </c>
      <c r="E24" s="12">
        <v>61</v>
      </c>
      <c r="F24" s="8">
        <v>12.03</v>
      </c>
      <c r="G24" s="12">
        <v>9</v>
      </c>
      <c r="H24" s="8">
        <v>1.84</v>
      </c>
      <c r="I24" s="12">
        <v>0</v>
      </c>
    </row>
    <row r="25" spans="2:9" ht="15" customHeight="1" x14ac:dyDescent="0.2">
      <c r="B25" t="s">
        <v>111</v>
      </c>
      <c r="C25" s="12">
        <v>68</v>
      </c>
      <c r="D25" s="8">
        <v>6.66</v>
      </c>
      <c r="E25" s="12">
        <v>59</v>
      </c>
      <c r="F25" s="8">
        <v>11.64</v>
      </c>
      <c r="G25" s="12">
        <v>9</v>
      </c>
      <c r="H25" s="8">
        <v>1.84</v>
      </c>
      <c r="I25" s="12">
        <v>0</v>
      </c>
    </row>
    <row r="26" spans="2:9" ht="15" customHeight="1" x14ac:dyDescent="0.2">
      <c r="B26" t="s">
        <v>107</v>
      </c>
      <c r="C26" s="12">
        <v>63</v>
      </c>
      <c r="D26" s="8">
        <v>6.17</v>
      </c>
      <c r="E26" s="12">
        <v>37</v>
      </c>
      <c r="F26" s="8">
        <v>7.3</v>
      </c>
      <c r="G26" s="12">
        <v>26</v>
      </c>
      <c r="H26" s="8">
        <v>5.31</v>
      </c>
      <c r="I26" s="12">
        <v>0</v>
      </c>
    </row>
    <row r="27" spans="2:9" ht="15" customHeight="1" x14ac:dyDescent="0.2">
      <c r="B27" t="s">
        <v>94</v>
      </c>
      <c r="C27" s="12">
        <v>58</v>
      </c>
      <c r="D27" s="8">
        <v>5.68</v>
      </c>
      <c r="E27" s="12">
        <v>18</v>
      </c>
      <c r="F27" s="8">
        <v>3.55</v>
      </c>
      <c r="G27" s="12">
        <v>40</v>
      </c>
      <c r="H27" s="8">
        <v>8.16</v>
      </c>
      <c r="I27" s="12">
        <v>0</v>
      </c>
    </row>
    <row r="28" spans="2:9" ht="15" customHeight="1" x14ac:dyDescent="0.2">
      <c r="B28" t="s">
        <v>105</v>
      </c>
      <c r="C28" s="12">
        <v>49</v>
      </c>
      <c r="D28" s="8">
        <v>4.8</v>
      </c>
      <c r="E28" s="12">
        <v>24</v>
      </c>
      <c r="F28" s="8">
        <v>4.7300000000000004</v>
      </c>
      <c r="G28" s="12">
        <v>25</v>
      </c>
      <c r="H28" s="8">
        <v>5.0999999999999996</v>
      </c>
      <c r="I28" s="12">
        <v>0</v>
      </c>
    </row>
    <row r="29" spans="2:9" ht="15" customHeight="1" x14ac:dyDescent="0.2">
      <c r="B29" t="s">
        <v>95</v>
      </c>
      <c r="C29" s="12">
        <v>46</v>
      </c>
      <c r="D29" s="8">
        <v>4.51</v>
      </c>
      <c r="E29" s="12">
        <v>19</v>
      </c>
      <c r="F29" s="8">
        <v>3.75</v>
      </c>
      <c r="G29" s="12">
        <v>27</v>
      </c>
      <c r="H29" s="8">
        <v>5.51</v>
      </c>
      <c r="I29" s="12">
        <v>0</v>
      </c>
    </row>
    <row r="30" spans="2:9" ht="15" customHeight="1" x14ac:dyDescent="0.2">
      <c r="B30" t="s">
        <v>112</v>
      </c>
      <c r="C30" s="12">
        <v>46</v>
      </c>
      <c r="D30" s="8">
        <v>4.51</v>
      </c>
      <c r="E30" s="12">
        <v>36</v>
      </c>
      <c r="F30" s="8">
        <v>7.1</v>
      </c>
      <c r="G30" s="12">
        <v>7</v>
      </c>
      <c r="H30" s="8">
        <v>1.43</v>
      </c>
      <c r="I30" s="12">
        <v>0</v>
      </c>
    </row>
    <row r="31" spans="2:9" ht="15" customHeight="1" x14ac:dyDescent="0.2">
      <c r="B31" t="s">
        <v>104</v>
      </c>
      <c r="C31" s="12">
        <v>42</v>
      </c>
      <c r="D31" s="8">
        <v>4.1100000000000003</v>
      </c>
      <c r="E31" s="12">
        <v>28</v>
      </c>
      <c r="F31" s="8">
        <v>5.52</v>
      </c>
      <c r="G31" s="12">
        <v>14</v>
      </c>
      <c r="H31" s="8">
        <v>2.86</v>
      </c>
      <c r="I31" s="12">
        <v>0</v>
      </c>
    </row>
    <row r="32" spans="2:9" ht="15" customHeight="1" x14ac:dyDescent="0.2">
      <c r="B32" t="s">
        <v>138</v>
      </c>
      <c r="C32" s="12">
        <v>42</v>
      </c>
      <c r="D32" s="8">
        <v>4.1100000000000003</v>
      </c>
      <c r="E32" s="12">
        <v>39</v>
      </c>
      <c r="F32" s="8">
        <v>7.69</v>
      </c>
      <c r="G32" s="12">
        <v>3</v>
      </c>
      <c r="H32" s="8">
        <v>0.61</v>
      </c>
      <c r="I32" s="12">
        <v>0</v>
      </c>
    </row>
    <row r="33" spans="2:9" ht="15" customHeight="1" x14ac:dyDescent="0.2">
      <c r="B33" t="s">
        <v>97</v>
      </c>
      <c r="C33" s="12">
        <v>37</v>
      </c>
      <c r="D33" s="8">
        <v>3.62</v>
      </c>
      <c r="E33" s="12">
        <v>7</v>
      </c>
      <c r="F33" s="8">
        <v>1.38</v>
      </c>
      <c r="G33" s="12">
        <v>30</v>
      </c>
      <c r="H33" s="8">
        <v>6.12</v>
      </c>
      <c r="I33" s="12">
        <v>0</v>
      </c>
    </row>
    <row r="34" spans="2:9" ht="15" customHeight="1" x14ac:dyDescent="0.2">
      <c r="B34" t="s">
        <v>96</v>
      </c>
      <c r="C34" s="12">
        <v>31</v>
      </c>
      <c r="D34" s="8">
        <v>3.04</v>
      </c>
      <c r="E34" s="12">
        <v>10</v>
      </c>
      <c r="F34" s="8">
        <v>1.97</v>
      </c>
      <c r="G34" s="12">
        <v>21</v>
      </c>
      <c r="H34" s="8">
        <v>4.29</v>
      </c>
      <c r="I34" s="12">
        <v>0</v>
      </c>
    </row>
    <row r="35" spans="2:9" ht="15" customHeight="1" x14ac:dyDescent="0.2">
      <c r="B35" t="s">
        <v>113</v>
      </c>
      <c r="C35" s="12">
        <v>28</v>
      </c>
      <c r="D35" s="8">
        <v>2.74</v>
      </c>
      <c r="E35" s="12">
        <v>24</v>
      </c>
      <c r="F35" s="8">
        <v>4.7300000000000004</v>
      </c>
      <c r="G35" s="12">
        <v>4</v>
      </c>
      <c r="H35" s="8">
        <v>0.82</v>
      </c>
      <c r="I35" s="12">
        <v>0</v>
      </c>
    </row>
    <row r="36" spans="2:9" ht="15" customHeight="1" x14ac:dyDescent="0.2">
      <c r="B36" t="s">
        <v>99</v>
      </c>
      <c r="C36" s="12">
        <v>27</v>
      </c>
      <c r="D36" s="8">
        <v>2.64</v>
      </c>
      <c r="E36" s="12">
        <v>5</v>
      </c>
      <c r="F36" s="8">
        <v>0.99</v>
      </c>
      <c r="G36" s="12">
        <v>22</v>
      </c>
      <c r="H36" s="8">
        <v>4.49</v>
      </c>
      <c r="I36" s="12">
        <v>0</v>
      </c>
    </row>
    <row r="37" spans="2:9" ht="15" customHeight="1" x14ac:dyDescent="0.2">
      <c r="B37" t="s">
        <v>103</v>
      </c>
      <c r="C37" s="12">
        <v>25</v>
      </c>
      <c r="D37" s="8">
        <v>2.4500000000000002</v>
      </c>
      <c r="E37" s="12">
        <v>19</v>
      </c>
      <c r="F37" s="8">
        <v>3.75</v>
      </c>
      <c r="G37" s="12">
        <v>6</v>
      </c>
      <c r="H37" s="8">
        <v>1.22</v>
      </c>
      <c r="I37" s="12">
        <v>0</v>
      </c>
    </row>
    <row r="38" spans="2:9" ht="15" customHeight="1" x14ac:dyDescent="0.2">
      <c r="B38" t="s">
        <v>98</v>
      </c>
      <c r="C38" s="12">
        <v>24</v>
      </c>
      <c r="D38" s="8">
        <v>2.35</v>
      </c>
      <c r="E38" s="12">
        <v>8</v>
      </c>
      <c r="F38" s="8">
        <v>1.58</v>
      </c>
      <c r="G38" s="12">
        <v>16</v>
      </c>
      <c r="H38" s="8">
        <v>3.27</v>
      </c>
      <c r="I38" s="12">
        <v>0</v>
      </c>
    </row>
    <row r="39" spans="2:9" ht="15" customHeight="1" x14ac:dyDescent="0.2">
      <c r="B39" t="s">
        <v>115</v>
      </c>
      <c r="C39" s="12">
        <v>21</v>
      </c>
      <c r="D39" s="8">
        <v>2.06</v>
      </c>
      <c r="E39" s="12">
        <v>11</v>
      </c>
      <c r="F39" s="8">
        <v>2.17</v>
      </c>
      <c r="G39" s="12">
        <v>10</v>
      </c>
      <c r="H39" s="8">
        <v>2.04</v>
      </c>
      <c r="I39" s="12">
        <v>0</v>
      </c>
    </row>
    <row r="40" spans="2:9" ht="15" customHeight="1" x14ac:dyDescent="0.2">
      <c r="B40" t="s">
        <v>137</v>
      </c>
      <c r="C40" s="12">
        <v>19</v>
      </c>
      <c r="D40" s="8">
        <v>1.86</v>
      </c>
      <c r="E40" s="12">
        <v>12</v>
      </c>
      <c r="F40" s="8">
        <v>2.37</v>
      </c>
      <c r="G40" s="12">
        <v>7</v>
      </c>
      <c r="H40" s="8">
        <v>1.43</v>
      </c>
      <c r="I40" s="12">
        <v>0</v>
      </c>
    </row>
    <row r="41" spans="2:9" ht="15" customHeight="1" x14ac:dyDescent="0.2">
      <c r="B41" t="s">
        <v>116</v>
      </c>
      <c r="C41" s="12">
        <v>19</v>
      </c>
      <c r="D41" s="8">
        <v>1.86</v>
      </c>
      <c r="E41" s="12">
        <v>0</v>
      </c>
      <c r="F41" s="8">
        <v>0</v>
      </c>
      <c r="G41" s="12">
        <v>6</v>
      </c>
      <c r="H41" s="8">
        <v>1.22</v>
      </c>
      <c r="I41" s="12">
        <v>0</v>
      </c>
    </row>
    <row r="42" spans="2:9" ht="15" customHeight="1" x14ac:dyDescent="0.2">
      <c r="B42" t="s">
        <v>109</v>
      </c>
      <c r="C42" s="12">
        <v>17</v>
      </c>
      <c r="D42" s="8">
        <v>1.67</v>
      </c>
      <c r="E42" s="12">
        <v>11</v>
      </c>
      <c r="F42" s="8">
        <v>2.17</v>
      </c>
      <c r="G42" s="12">
        <v>5</v>
      </c>
      <c r="H42" s="8">
        <v>1.02</v>
      </c>
      <c r="I42" s="12">
        <v>0</v>
      </c>
    </row>
    <row r="43" spans="2:9" ht="15" customHeight="1" x14ac:dyDescent="0.2">
      <c r="B43" t="s">
        <v>100</v>
      </c>
      <c r="C43" s="12">
        <v>16</v>
      </c>
      <c r="D43" s="8">
        <v>1.57</v>
      </c>
      <c r="E43" s="12">
        <v>1</v>
      </c>
      <c r="F43" s="8">
        <v>0.2</v>
      </c>
      <c r="G43" s="12">
        <v>15</v>
      </c>
      <c r="H43" s="8">
        <v>3.06</v>
      </c>
      <c r="I43" s="12">
        <v>0</v>
      </c>
    </row>
    <row r="44" spans="2:9" ht="15" customHeight="1" x14ac:dyDescent="0.2">
      <c r="B44" t="s">
        <v>135</v>
      </c>
      <c r="C44" s="12">
        <v>16</v>
      </c>
      <c r="D44" s="8">
        <v>1.57</v>
      </c>
      <c r="E44" s="12">
        <v>0</v>
      </c>
      <c r="F44" s="8">
        <v>0</v>
      </c>
      <c r="G44" s="12">
        <v>16</v>
      </c>
      <c r="H44" s="8">
        <v>3.27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225</v>
      </c>
      <c r="C48" s="12">
        <v>38</v>
      </c>
      <c r="D48" s="8">
        <v>3.72</v>
      </c>
      <c r="E48" s="12">
        <v>38</v>
      </c>
      <c r="F48" s="8">
        <v>7.5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165</v>
      </c>
      <c r="C49" s="12">
        <v>35</v>
      </c>
      <c r="D49" s="8">
        <v>3.43</v>
      </c>
      <c r="E49" s="12">
        <v>29</v>
      </c>
      <c r="F49" s="8">
        <v>5.72</v>
      </c>
      <c r="G49" s="12">
        <v>6</v>
      </c>
      <c r="H49" s="8">
        <v>1.22</v>
      </c>
      <c r="I49" s="12">
        <v>0</v>
      </c>
    </row>
    <row r="50" spans="2:9" ht="15" customHeight="1" x14ac:dyDescent="0.2">
      <c r="B50" t="s">
        <v>170</v>
      </c>
      <c r="C50" s="12">
        <v>32</v>
      </c>
      <c r="D50" s="8">
        <v>3.13</v>
      </c>
      <c r="E50" s="12">
        <v>28</v>
      </c>
      <c r="F50" s="8">
        <v>5.52</v>
      </c>
      <c r="G50" s="12">
        <v>4</v>
      </c>
      <c r="H50" s="8">
        <v>0.82</v>
      </c>
      <c r="I50" s="12">
        <v>0</v>
      </c>
    </row>
    <row r="51" spans="2:9" ht="15" customHeight="1" x14ac:dyDescent="0.2">
      <c r="B51" t="s">
        <v>156</v>
      </c>
      <c r="C51" s="12">
        <v>29</v>
      </c>
      <c r="D51" s="8">
        <v>2.84</v>
      </c>
      <c r="E51" s="12">
        <v>18</v>
      </c>
      <c r="F51" s="8">
        <v>3.55</v>
      </c>
      <c r="G51" s="12">
        <v>11</v>
      </c>
      <c r="H51" s="8">
        <v>2.2400000000000002</v>
      </c>
      <c r="I51" s="12">
        <v>0</v>
      </c>
    </row>
    <row r="52" spans="2:9" ht="15" customHeight="1" x14ac:dyDescent="0.2">
      <c r="B52" t="s">
        <v>161</v>
      </c>
      <c r="C52" s="12">
        <v>29</v>
      </c>
      <c r="D52" s="8">
        <v>2.84</v>
      </c>
      <c r="E52" s="12">
        <v>18</v>
      </c>
      <c r="F52" s="8">
        <v>3.55</v>
      </c>
      <c r="G52" s="12">
        <v>11</v>
      </c>
      <c r="H52" s="8">
        <v>2.2400000000000002</v>
      </c>
      <c r="I52" s="12">
        <v>0</v>
      </c>
    </row>
    <row r="53" spans="2:9" ht="15" customHeight="1" x14ac:dyDescent="0.2">
      <c r="B53" t="s">
        <v>168</v>
      </c>
      <c r="C53" s="12">
        <v>28</v>
      </c>
      <c r="D53" s="8">
        <v>2.74</v>
      </c>
      <c r="E53" s="12">
        <v>25</v>
      </c>
      <c r="F53" s="8">
        <v>4.93</v>
      </c>
      <c r="G53" s="12">
        <v>3</v>
      </c>
      <c r="H53" s="8">
        <v>0.61</v>
      </c>
      <c r="I53" s="12">
        <v>0</v>
      </c>
    </row>
    <row r="54" spans="2:9" ht="15" customHeight="1" x14ac:dyDescent="0.2">
      <c r="B54" t="s">
        <v>196</v>
      </c>
      <c r="C54" s="12">
        <v>27</v>
      </c>
      <c r="D54" s="8">
        <v>2.64</v>
      </c>
      <c r="E54" s="12">
        <v>6</v>
      </c>
      <c r="F54" s="8">
        <v>1.18</v>
      </c>
      <c r="G54" s="12">
        <v>21</v>
      </c>
      <c r="H54" s="8">
        <v>4.29</v>
      </c>
      <c r="I54" s="12">
        <v>0</v>
      </c>
    </row>
    <row r="55" spans="2:9" ht="15" customHeight="1" x14ac:dyDescent="0.2">
      <c r="B55" t="s">
        <v>167</v>
      </c>
      <c r="C55" s="12">
        <v>22</v>
      </c>
      <c r="D55" s="8">
        <v>2.15</v>
      </c>
      <c r="E55" s="12">
        <v>21</v>
      </c>
      <c r="F55" s="8">
        <v>4.1399999999999997</v>
      </c>
      <c r="G55" s="12">
        <v>1</v>
      </c>
      <c r="H55" s="8">
        <v>0.2</v>
      </c>
      <c r="I55" s="12">
        <v>0</v>
      </c>
    </row>
    <row r="56" spans="2:9" ht="15" customHeight="1" x14ac:dyDescent="0.2">
      <c r="B56" t="s">
        <v>171</v>
      </c>
      <c r="C56" s="12">
        <v>22</v>
      </c>
      <c r="D56" s="8">
        <v>2.15</v>
      </c>
      <c r="E56" s="12">
        <v>20</v>
      </c>
      <c r="F56" s="8">
        <v>3.94</v>
      </c>
      <c r="G56" s="12">
        <v>2</v>
      </c>
      <c r="H56" s="8">
        <v>0.41</v>
      </c>
      <c r="I56" s="12">
        <v>0</v>
      </c>
    </row>
    <row r="57" spans="2:9" ht="15" customHeight="1" x14ac:dyDescent="0.2">
      <c r="B57" t="s">
        <v>152</v>
      </c>
      <c r="C57" s="12">
        <v>18</v>
      </c>
      <c r="D57" s="8">
        <v>1.76</v>
      </c>
      <c r="E57" s="12">
        <v>2</v>
      </c>
      <c r="F57" s="8">
        <v>0.39</v>
      </c>
      <c r="G57" s="12">
        <v>16</v>
      </c>
      <c r="H57" s="8">
        <v>3.27</v>
      </c>
      <c r="I57" s="12">
        <v>0</v>
      </c>
    </row>
    <row r="58" spans="2:9" ht="15" customHeight="1" x14ac:dyDescent="0.2">
      <c r="B58" t="s">
        <v>224</v>
      </c>
      <c r="C58" s="12">
        <v>18</v>
      </c>
      <c r="D58" s="8">
        <v>1.76</v>
      </c>
      <c r="E58" s="12">
        <v>4</v>
      </c>
      <c r="F58" s="8">
        <v>0.79</v>
      </c>
      <c r="G58" s="12">
        <v>14</v>
      </c>
      <c r="H58" s="8">
        <v>2.86</v>
      </c>
      <c r="I58" s="12">
        <v>0</v>
      </c>
    </row>
    <row r="59" spans="2:9" ht="15" customHeight="1" x14ac:dyDescent="0.2">
      <c r="B59" t="s">
        <v>153</v>
      </c>
      <c r="C59" s="12">
        <v>17</v>
      </c>
      <c r="D59" s="8">
        <v>1.67</v>
      </c>
      <c r="E59" s="12">
        <v>7</v>
      </c>
      <c r="F59" s="8">
        <v>1.38</v>
      </c>
      <c r="G59" s="12">
        <v>10</v>
      </c>
      <c r="H59" s="8">
        <v>2.04</v>
      </c>
      <c r="I59" s="12">
        <v>0</v>
      </c>
    </row>
    <row r="60" spans="2:9" ht="15" customHeight="1" x14ac:dyDescent="0.2">
      <c r="B60" t="s">
        <v>160</v>
      </c>
      <c r="C60" s="12">
        <v>16</v>
      </c>
      <c r="D60" s="8">
        <v>1.57</v>
      </c>
      <c r="E60" s="12">
        <v>8</v>
      </c>
      <c r="F60" s="8">
        <v>1.58</v>
      </c>
      <c r="G60" s="12">
        <v>8</v>
      </c>
      <c r="H60" s="8">
        <v>1.63</v>
      </c>
      <c r="I60" s="12">
        <v>0</v>
      </c>
    </row>
    <row r="61" spans="2:9" ht="15" customHeight="1" x14ac:dyDescent="0.2">
      <c r="B61" t="s">
        <v>211</v>
      </c>
      <c r="C61" s="12">
        <v>16</v>
      </c>
      <c r="D61" s="8">
        <v>1.57</v>
      </c>
      <c r="E61" s="12">
        <v>0</v>
      </c>
      <c r="F61" s="8">
        <v>0</v>
      </c>
      <c r="G61" s="12">
        <v>16</v>
      </c>
      <c r="H61" s="8">
        <v>3.27</v>
      </c>
      <c r="I61" s="12">
        <v>0</v>
      </c>
    </row>
    <row r="62" spans="2:9" ht="15" customHeight="1" x14ac:dyDescent="0.2">
      <c r="B62" t="s">
        <v>193</v>
      </c>
      <c r="C62" s="12">
        <v>15</v>
      </c>
      <c r="D62" s="8">
        <v>1.47</v>
      </c>
      <c r="E62" s="12">
        <v>11</v>
      </c>
      <c r="F62" s="8">
        <v>2.17</v>
      </c>
      <c r="G62" s="12">
        <v>4</v>
      </c>
      <c r="H62" s="8">
        <v>0.82</v>
      </c>
      <c r="I62" s="12">
        <v>0</v>
      </c>
    </row>
    <row r="63" spans="2:9" ht="15" customHeight="1" x14ac:dyDescent="0.2">
      <c r="B63" t="s">
        <v>154</v>
      </c>
      <c r="C63" s="12">
        <v>14</v>
      </c>
      <c r="D63" s="8">
        <v>1.37</v>
      </c>
      <c r="E63" s="12">
        <v>5</v>
      </c>
      <c r="F63" s="8">
        <v>0.99</v>
      </c>
      <c r="G63" s="12">
        <v>9</v>
      </c>
      <c r="H63" s="8">
        <v>1.84</v>
      </c>
      <c r="I63" s="12">
        <v>0</v>
      </c>
    </row>
    <row r="64" spans="2:9" ht="15" customHeight="1" x14ac:dyDescent="0.2">
      <c r="B64" t="s">
        <v>216</v>
      </c>
      <c r="C64" s="12">
        <v>14</v>
      </c>
      <c r="D64" s="8">
        <v>1.37</v>
      </c>
      <c r="E64" s="12">
        <v>0</v>
      </c>
      <c r="F64" s="8">
        <v>0</v>
      </c>
      <c r="G64" s="12">
        <v>14</v>
      </c>
      <c r="H64" s="8">
        <v>2.86</v>
      </c>
      <c r="I64" s="12">
        <v>0</v>
      </c>
    </row>
    <row r="65" spans="2:9" ht="15" customHeight="1" x14ac:dyDescent="0.2">
      <c r="B65" t="s">
        <v>158</v>
      </c>
      <c r="C65" s="12">
        <v>14</v>
      </c>
      <c r="D65" s="8">
        <v>1.37</v>
      </c>
      <c r="E65" s="12">
        <v>7</v>
      </c>
      <c r="F65" s="8">
        <v>1.38</v>
      </c>
      <c r="G65" s="12">
        <v>7</v>
      </c>
      <c r="H65" s="8">
        <v>1.43</v>
      </c>
      <c r="I65" s="12">
        <v>0</v>
      </c>
    </row>
    <row r="66" spans="2:9" ht="15" customHeight="1" x14ac:dyDescent="0.2">
      <c r="B66" t="s">
        <v>163</v>
      </c>
      <c r="C66" s="12">
        <v>14</v>
      </c>
      <c r="D66" s="8">
        <v>1.37</v>
      </c>
      <c r="E66" s="12">
        <v>12</v>
      </c>
      <c r="F66" s="8">
        <v>2.37</v>
      </c>
      <c r="G66" s="12">
        <v>2</v>
      </c>
      <c r="H66" s="8">
        <v>0.41</v>
      </c>
      <c r="I66" s="12">
        <v>0</v>
      </c>
    </row>
    <row r="67" spans="2:9" ht="15" customHeight="1" x14ac:dyDescent="0.2">
      <c r="B67" t="s">
        <v>205</v>
      </c>
      <c r="C67" s="12">
        <v>13</v>
      </c>
      <c r="D67" s="8">
        <v>1.27</v>
      </c>
      <c r="E67" s="12">
        <v>7</v>
      </c>
      <c r="F67" s="8">
        <v>1.38</v>
      </c>
      <c r="G67" s="12">
        <v>6</v>
      </c>
      <c r="H67" s="8">
        <v>1.22</v>
      </c>
      <c r="I67" s="12">
        <v>0</v>
      </c>
    </row>
    <row r="68" spans="2:9" ht="15" customHeight="1" x14ac:dyDescent="0.2">
      <c r="B68" t="s">
        <v>164</v>
      </c>
      <c r="C68" s="12">
        <v>13</v>
      </c>
      <c r="D68" s="8">
        <v>1.27</v>
      </c>
      <c r="E68" s="12">
        <v>13</v>
      </c>
      <c r="F68" s="8">
        <v>2.56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E4C8-0A67-43D5-A20B-5FF1A9C6F6D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332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142</v>
      </c>
      <c r="D6" s="8">
        <v>15.3</v>
      </c>
      <c r="E6" s="12">
        <v>28</v>
      </c>
      <c r="F6" s="8">
        <v>6.8</v>
      </c>
      <c r="G6" s="12">
        <v>113</v>
      </c>
      <c r="H6" s="8">
        <v>23.4</v>
      </c>
      <c r="I6" s="12">
        <v>1</v>
      </c>
    </row>
    <row r="7" spans="2:9" ht="15" customHeight="1" x14ac:dyDescent="0.2">
      <c r="B7" t="s">
        <v>73</v>
      </c>
      <c r="C7" s="12">
        <v>142</v>
      </c>
      <c r="D7" s="8">
        <v>15.3</v>
      </c>
      <c r="E7" s="12">
        <v>43</v>
      </c>
      <c r="F7" s="8">
        <v>10.44</v>
      </c>
      <c r="G7" s="12">
        <v>99</v>
      </c>
      <c r="H7" s="8">
        <v>20.5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0.22</v>
      </c>
      <c r="E9" s="12">
        <v>0</v>
      </c>
      <c r="F9" s="8">
        <v>0</v>
      </c>
      <c r="G9" s="12">
        <v>2</v>
      </c>
      <c r="H9" s="8">
        <v>0.41</v>
      </c>
      <c r="I9" s="12">
        <v>0</v>
      </c>
    </row>
    <row r="10" spans="2:9" ht="15" customHeight="1" x14ac:dyDescent="0.2">
      <c r="B10" t="s">
        <v>76</v>
      </c>
      <c r="C10" s="12">
        <v>5</v>
      </c>
      <c r="D10" s="8">
        <v>0.54</v>
      </c>
      <c r="E10" s="12">
        <v>1</v>
      </c>
      <c r="F10" s="8">
        <v>0.24</v>
      </c>
      <c r="G10" s="12">
        <v>4</v>
      </c>
      <c r="H10" s="8">
        <v>0.83</v>
      </c>
      <c r="I10" s="12">
        <v>0</v>
      </c>
    </row>
    <row r="11" spans="2:9" ht="15" customHeight="1" x14ac:dyDescent="0.2">
      <c r="B11" t="s">
        <v>77</v>
      </c>
      <c r="C11" s="12">
        <v>138</v>
      </c>
      <c r="D11" s="8">
        <v>14.87</v>
      </c>
      <c r="E11" s="12">
        <v>49</v>
      </c>
      <c r="F11" s="8">
        <v>11.89</v>
      </c>
      <c r="G11" s="12">
        <v>89</v>
      </c>
      <c r="H11" s="8">
        <v>18.43</v>
      </c>
      <c r="I11" s="12">
        <v>0</v>
      </c>
    </row>
    <row r="12" spans="2:9" ht="15" customHeight="1" x14ac:dyDescent="0.2">
      <c r="B12" t="s">
        <v>78</v>
      </c>
      <c r="C12" s="12">
        <v>6</v>
      </c>
      <c r="D12" s="8">
        <v>0.65</v>
      </c>
      <c r="E12" s="12">
        <v>0</v>
      </c>
      <c r="F12" s="8">
        <v>0</v>
      </c>
      <c r="G12" s="12">
        <v>6</v>
      </c>
      <c r="H12" s="8">
        <v>1.24</v>
      </c>
      <c r="I12" s="12">
        <v>0</v>
      </c>
    </row>
    <row r="13" spans="2:9" ht="15" customHeight="1" x14ac:dyDescent="0.2">
      <c r="B13" t="s">
        <v>79</v>
      </c>
      <c r="C13" s="12">
        <v>132</v>
      </c>
      <c r="D13" s="8">
        <v>14.22</v>
      </c>
      <c r="E13" s="12">
        <v>71</v>
      </c>
      <c r="F13" s="8">
        <v>17.23</v>
      </c>
      <c r="G13" s="12">
        <v>61</v>
      </c>
      <c r="H13" s="8">
        <v>12.63</v>
      </c>
      <c r="I13" s="12">
        <v>0</v>
      </c>
    </row>
    <row r="14" spans="2:9" ht="15" customHeight="1" x14ac:dyDescent="0.2">
      <c r="B14" t="s">
        <v>80</v>
      </c>
      <c r="C14" s="12">
        <v>31</v>
      </c>
      <c r="D14" s="8">
        <v>3.34</v>
      </c>
      <c r="E14" s="12">
        <v>16</v>
      </c>
      <c r="F14" s="8">
        <v>3.88</v>
      </c>
      <c r="G14" s="12">
        <v>15</v>
      </c>
      <c r="H14" s="8">
        <v>3.11</v>
      </c>
      <c r="I14" s="12">
        <v>0</v>
      </c>
    </row>
    <row r="15" spans="2:9" ht="15" customHeight="1" x14ac:dyDescent="0.2">
      <c r="B15" t="s">
        <v>81</v>
      </c>
      <c r="C15" s="12">
        <v>81</v>
      </c>
      <c r="D15" s="8">
        <v>8.73</v>
      </c>
      <c r="E15" s="12">
        <v>58</v>
      </c>
      <c r="F15" s="8">
        <v>14.08</v>
      </c>
      <c r="G15" s="12">
        <v>23</v>
      </c>
      <c r="H15" s="8">
        <v>4.76</v>
      </c>
      <c r="I15" s="12">
        <v>0</v>
      </c>
    </row>
    <row r="16" spans="2:9" ht="15" customHeight="1" x14ac:dyDescent="0.2">
      <c r="B16" t="s">
        <v>82</v>
      </c>
      <c r="C16" s="12">
        <v>98</v>
      </c>
      <c r="D16" s="8">
        <v>10.56</v>
      </c>
      <c r="E16" s="12">
        <v>70</v>
      </c>
      <c r="F16" s="8">
        <v>16.989999999999998</v>
      </c>
      <c r="G16" s="12">
        <v>27</v>
      </c>
      <c r="H16" s="8">
        <v>5.59</v>
      </c>
      <c r="I16" s="12">
        <v>0</v>
      </c>
    </row>
    <row r="17" spans="2:9" ht="15" customHeight="1" x14ac:dyDescent="0.2">
      <c r="B17" t="s">
        <v>83</v>
      </c>
      <c r="C17" s="12">
        <v>42</v>
      </c>
      <c r="D17" s="8">
        <v>4.53</v>
      </c>
      <c r="E17" s="12">
        <v>30</v>
      </c>
      <c r="F17" s="8">
        <v>7.28</v>
      </c>
      <c r="G17" s="12">
        <v>11</v>
      </c>
      <c r="H17" s="8">
        <v>2.2799999999999998</v>
      </c>
      <c r="I17" s="12">
        <v>0</v>
      </c>
    </row>
    <row r="18" spans="2:9" ht="15" customHeight="1" x14ac:dyDescent="0.2">
      <c r="B18" t="s">
        <v>84</v>
      </c>
      <c r="C18" s="12">
        <v>70</v>
      </c>
      <c r="D18" s="8">
        <v>7.54</v>
      </c>
      <c r="E18" s="12">
        <v>34</v>
      </c>
      <c r="F18" s="8">
        <v>8.25</v>
      </c>
      <c r="G18" s="12">
        <v>9</v>
      </c>
      <c r="H18" s="8">
        <v>1.86</v>
      </c>
      <c r="I18" s="12">
        <v>11</v>
      </c>
    </row>
    <row r="19" spans="2:9" ht="15" customHeight="1" x14ac:dyDescent="0.2">
      <c r="B19" t="s">
        <v>85</v>
      </c>
      <c r="C19" s="12">
        <v>39</v>
      </c>
      <c r="D19" s="8">
        <v>4.2</v>
      </c>
      <c r="E19" s="12">
        <v>12</v>
      </c>
      <c r="F19" s="8">
        <v>2.91</v>
      </c>
      <c r="G19" s="12">
        <v>24</v>
      </c>
      <c r="H19" s="8">
        <v>4.97</v>
      </c>
      <c r="I19" s="12">
        <v>1</v>
      </c>
    </row>
    <row r="20" spans="2:9" ht="15" customHeight="1" x14ac:dyDescent="0.2">
      <c r="B20" s="9" t="s">
        <v>277</v>
      </c>
      <c r="C20" s="12">
        <f>SUM(LTBL_23236[総数／事業所数])</f>
        <v>928</v>
      </c>
      <c r="E20" s="12">
        <f>SUBTOTAL(109,LTBL_23236[個人／事業所数])</f>
        <v>412</v>
      </c>
      <c r="G20" s="12">
        <f>SUBTOTAL(109,LTBL_23236[法人／事業所数])</f>
        <v>483</v>
      </c>
      <c r="I20" s="12">
        <f>SUBTOTAL(109,LTBL_23236[法人以外の団体／事業所数])</f>
        <v>13</v>
      </c>
    </row>
    <row r="21" spans="2:9" ht="15" customHeight="1" x14ac:dyDescent="0.2">
      <c r="E21" s="11">
        <f>LTBL_23236[[#Totals],[個人／事業所数]]/LTBL_23236[[#Totals],[総数／事業所数]]</f>
        <v>0.44396551724137934</v>
      </c>
      <c r="G21" s="11">
        <f>LTBL_23236[[#Totals],[法人／事業所数]]/LTBL_23236[[#Totals],[総数／事業所数]]</f>
        <v>0.52047413793103448</v>
      </c>
      <c r="I21" s="11">
        <f>LTBL_23236[[#Totals],[法人以外の団体／事業所数]]/LTBL_23236[[#Totals],[総数／事業所数]]</f>
        <v>1.4008620689655173E-2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116</v>
      </c>
      <c r="D24" s="8">
        <v>12.5</v>
      </c>
      <c r="E24" s="12">
        <v>69</v>
      </c>
      <c r="F24" s="8">
        <v>16.75</v>
      </c>
      <c r="G24" s="12">
        <v>47</v>
      </c>
      <c r="H24" s="8">
        <v>9.73</v>
      </c>
      <c r="I24" s="12">
        <v>0</v>
      </c>
    </row>
    <row r="25" spans="2:9" ht="15" customHeight="1" x14ac:dyDescent="0.2">
      <c r="B25" t="s">
        <v>111</v>
      </c>
      <c r="C25" s="12">
        <v>80</v>
      </c>
      <c r="D25" s="8">
        <v>8.6199999999999992</v>
      </c>
      <c r="E25" s="12">
        <v>64</v>
      </c>
      <c r="F25" s="8">
        <v>15.53</v>
      </c>
      <c r="G25" s="12">
        <v>16</v>
      </c>
      <c r="H25" s="8">
        <v>3.31</v>
      </c>
      <c r="I25" s="12">
        <v>0</v>
      </c>
    </row>
    <row r="26" spans="2:9" ht="15" customHeight="1" x14ac:dyDescent="0.2">
      <c r="B26" t="s">
        <v>94</v>
      </c>
      <c r="C26" s="12">
        <v>68</v>
      </c>
      <c r="D26" s="8">
        <v>7.33</v>
      </c>
      <c r="E26" s="12">
        <v>11</v>
      </c>
      <c r="F26" s="8">
        <v>2.67</v>
      </c>
      <c r="G26" s="12">
        <v>56</v>
      </c>
      <c r="H26" s="8">
        <v>11.59</v>
      </c>
      <c r="I26" s="12">
        <v>1</v>
      </c>
    </row>
    <row r="27" spans="2:9" ht="15" customHeight="1" x14ac:dyDescent="0.2">
      <c r="B27" t="s">
        <v>110</v>
      </c>
      <c r="C27" s="12">
        <v>66</v>
      </c>
      <c r="D27" s="8">
        <v>7.11</v>
      </c>
      <c r="E27" s="12">
        <v>56</v>
      </c>
      <c r="F27" s="8">
        <v>13.59</v>
      </c>
      <c r="G27" s="12">
        <v>10</v>
      </c>
      <c r="H27" s="8">
        <v>2.0699999999999998</v>
      </c>
      <c r="I27" s="12">
        <v>0</v>
      </c>
    </row>
    <row r="28" spans="2:9" ht="15" customHeight="1" x14ac:dyDescent="0.2">
      <c r="B28" t="s">
        <v>105</v>
      </c>
      <c r="C28" s="12">
        <v>43</v>
      </c>
      <c r="D28" s="8">
        <v>4.63</v>
      </c>
      <c r="E28" s="12">
        <v>16</v>
      </c>
      <c r="F28" s="8">
        <v>3.88</v>
      </c>
      <c r="G28" s="12">
        <v>27</v>
      </c>
      <c r="H28" s="8">
        <v>5.59</v>
      </c>
      <c r="I28" s="12">
        <v>0</v>
      </c>
    </row>
    <row r="29" spans="2:9" ht="15" customHeight="1" x14ac:dyDescent="0.2">
      <c r="B29" t="s">
        <v>112</v>
      </c>
      <c r="C29" s="12">
        <v>42</v>
      </c>
      <c r="D29" s="8">
        <v>4.53</v>
      </c>
      <c r="E29" s="12">
        <v>30</v>
      </c>
      <c r="F29" s="8">
        <v>7.28</v>
      </c>
      <c r="G29" s="12">
        <v>11</v>
      </c>
      <c r="H29" s="8">
        <v>2.2799999999999998</v>
      </c>
      <c r="I29" s="12">
        <v>0</v>
      </c>
    </row>
    <row r="30" spans="2:9" ht="15" customHeight="1" x14ac:dyDescent="0.2">
      <c r="B30" t="s">
        <v>95</v>
      </c>
      <c r="C30" s="12">
        <v>41</v>
      </c>
      <c r="D30" s="8">
        <v>4.42</v>
      </c>
      <c r="E30" s="12">
        <v>11</v>
      </c>
      <c r="F30" s="8">
        <v>2.67</v>
      </c>
      <c r="G30" s="12">
        <v>30</v>
      </c>
      <c r="H30" s="8">
        <v>6.21</v>
      </c>
      <c r="I30" s="12">
        <v>0</v>
      </c>
    </row>
    <row r="31" spans="2:9" ht="15" customHeight="1" x14ac:dyDescent="0.2">
      <c r="B31" t="s">
        <v>113</v>
      </c>
      <c r="C31" s="12">
        <v>36</v>
      </c>
      <c r="D31" s="8">
        <v>3.88</v>
      </c>
      <c r="E31" s="12">
        <v>33</v>
      </c>
      <c r="F31" s="8">
        <v>8.01</v>
      </c>
      <c r="G31" s="12">
        <v>3</v>
      </c>
      <c r="H31" s="8">
        <v>0.62</v>
      </c>
      <c r="I31" s="12">
        <v>0</v>
      </c>
    </row>
    <row r="32" spans="2:9" ht="15" customHeight="1" x14ac:dyDescent="0.2">
      <c r="B32" t="s">
        <v>116</v>
      </c>
      <c r="C32" s="12">
        <v>34</v>
      </c>
      <c r="D32" s="8">
        <v>3.66</v>
      </c>
      <c r="E32" s="12">
        <v>1</v>
      </c>
      <c r="F32" s="8">
        <v>0.24</v>
      </c>
      <c r="G32" s="12">
        <v>6</v>
      </c>
      <c r="H32" s="8">
        <v>1.24</v>
      </c>
      <c r="I32" s="12">
        <v>11</v>
      </c>
    </row>
    <row r="33" spans="2:9" ht="15" customHeight="1" x14ac:dyDescent="0.2">
      <c r="B33" t="s">
        <v>96</v>
      </c>
      <c r="C33" s="12">
        <v>33</v>
      </c>
      <c r="D33" s="8">
        <v>3.56</v>
      </c>
      <c r="E33" s="12">
        <v>6</v>
      </c>
      <c r="F33" s="8">
        <v>1.46</v>
      </c>
      <c r="G33" s="12">
        <v>27</v>
      </c>
      <c r="H33" s="8">
        <v>5.59</v>
      </c>
      <c r="I33" s="12">
        <v>0</v>
      </c>
    </row>
    <row r="34" spans="2:9" ht="15" customHeight="1" x14ac:dyDescent="0.2">
      <c r="B34" t="s">
        <v>97</v>
      </c>
      <c r="C34" s="12">
        <v>31</v>
      </c>
      <c r="D34" s="8">
        <v>3.34</v>
      </c>
      <c r="E34" s="12">
        <v>12</v>
      </c>
      <c r="F34" s="8">
        <v>2.91</v>
      </c>
      <c r="G34" s="12">
        <v>19</v>
      </c>
      <c r="H34" s="8">
        <v>3.93</v>
      </c>
      <c r="I34" s="12">
        <v>0</v>
      </c>
    </row>
    <row r="35" spans="2:9" ht="15" customHeight="1" x14ac:dyDescent="0.2">
      <c r="B35" t="s">
        <v>98</v>
      </c>
      <c r="C35" s="12">
        <v>29</v>
      </c>
      <c r="D35" s="8">
        <v>3.13</v>
      </c>
      <c r="E35" s="12">
        <v>7</v>
      </c>
      <c r="F35" s="8">
        <v>1.7</v>
      </c>
      <c r="G35" s="12">
        <v>22</v>
      </c>
      <c r="H35" s="8">
        <v>4.55</v>
      </c>
      <c r="I35" s="12">
        <v>0</v>
      </c>
    </row>
    <row r="36" spans="2:9" ht="15" customHeight="1" x14ac:dyDescent="0.2">
      <c r="B36" t="s">
        <v>104</v>
      </c>
      <c r="C36" s="12">
        <v>27</v>
      </c>
      <c r="D36" s="8">
        <v>2.91</v>
      </c>
      <c r="E36" s="12">
        <v>13</v>
      </c>
      <c r="F36" s="8">
        <v>3.16</v>
      </c>
      <c r="G36" s="12">
        <v>14</v>
      </c>
      <c r="H36" s="8">
        <v>2.9</v>
      </c>
      <c r="I36" s="12">
        <v>0</v>
      </c>
    </row>
    <row r="37" spans="2:9" ht="15" customHeight="1" x14ac:dyDescent="0.2">
      <c r="B37" t="s">
        <v>108</v>
      </c>
      <c r="C37" s="12">
        <v>23</v>
      </c>
      <c r="D37" s="8">
        <v>2.48</v>
      </c>
      <c r="E37" s="12">
        <v>14</v>
      </c>
      <c r="F37" s="8">
        <v>3.4</v>
      </c>
      <c r="G37" s="12">
        <v>9</v>
      </c>
      <c r="H37" s="8">
        <v>1.86</v>
      </c>
      <c r="I37" s="12">
        <v>0</v>
      </c>
    </row>
    <row r="38" spans="2:9" ht="15" customHeight="1" x14ac:dyDescent="0.2">
      <c r="B38" t="s">
        <v>103</v>
      </c>
      <c r="C38" s="12">
        <v>15</v>
      </c>
      <c r="D38" s="8">
        <v>1.62</v>
      </c>
      <c r="E38" s="12">
        <v>11</v>
      </c>
      <c r="F38" s="8">
        <v>2.67</v>
      </c>
      <c r="G38" s="12">
        <v>4</v>
      </c>
      <c r="H38" s="8">
        <v>0.83</v>
      </c>
      <c r="I38" s="12">
        <v>0</v>
      </c>
    </row>
    <row r="39" spans="2:9" ht="15" customHeight="1" x14ac:dyDescent="0.2">
      <c r="B39" t="s">
        <v>102</v>
      </c>
      <c r="C39" s="12">
        <v>14</v>
      </c>
      <c r="D39" s="8">
        <v>1.51</v>
      </c>
      <c r="E39" s="12">
        <v>3</v>
      </c>
      <c r="F39" s="8">
        <v>0.73</v>
      </c>
      <c r="G39" s="12">
        <v>11</v>
      </c>
      <c r="H39" s="8">
        <v>2.2799999999999998</v>
      </c>
      <c r="I39" s="12">
        <v>0</v>
      </c>
    </row>
    <row r="40" spans="2:9" ht="15" customHeight="1" x14ac:dyDescent="0.2">
      <c r="B40" t="s">
        <v>122</v>
      </c>
      <c r="C40" s="12">
        <v>13</v>
      </c>
      <c r="D40" s="8">
        <v>1.4</v>
      </c>
      <c r="E40" s="12">
        <v>7</v>
      </c>
      <c r="F40" s="8">
        <v>1.7</v>
      </c>
      <c r="G40" s="12">
        <v>6</v>
      </c>
      <c r="H40" s="8">
        <v>1.24</v>
      </c>
      <c r="I40" s="12">
        <v>0</v>
      </c>
    </row>
    <row r="41" spans="2:9" ht="15" customHeight="1" x14ac:dyDescent="0.2">
      <c r="B41" t="s">
        <v>115</v>
      </c>
      <c r="C41" s="12">
        <v>12</v>
      </c>
      <c r="D41" s="8">
        <v>1.29</v>
      </c>
      <c r="E41" s="12">
        <v>5</v>
      </c>
      <c r="F41" s="8">
        <v>1.21</v>
      </c>
      <c r="G41" s="12">
        <v>7</v>
      </c>
      <c r="H41" s="8">
        <v>1.45</v>
      </c>
      <c r="I41" s="12">
        <v>0</v>
      </c>
    </row>
    <row r="42" spans="2:9" ht="15" customHeight="1" x14ac:dyDescent="0.2">
      <c r="B42" t="s">
        <v>137</v>
      </c>
      <c r="C42" s="12">
        <v>11</v>
      </c>
      <c r="D42" s="8">
        <v>1.19</v>
      </c>
      <c r="E42" s="12">
        <v>7</v>
      </c>
      <c r="F42" s="8">
        <v>1.7</v>
      </c>
      <c r="G42" s="12">
        <v>4</v>
      </c>
      <c r="H42" s="8">
        <v>0.83</v>
      </c>
      <c r="I42" s="12">
        <v>0</v>
      </c>
    </row>
    <row r="43" spans="2:9" ht="15" customHeight="1" x14ac:dyDescent="0.2">
      <c r="B43" t="s">
        <v>99</v>
      </c>
      <c r="C43" s="12">
        <v>11</v>
      </c>
      <c r="D43" s="8">
        <v>1.19</v>
      </c>
      <c r="E43" s="12">
        <v>2</v>
      </c>
      <c r="F43" s="8">
        <v>0.49</v>
      </c>
      <c r="G43" s="12">
        <v>9</v>
      </c>
      <c r="H43" s="8">
        <v>1.86</v>
      </c>
      <c r="I43" s="12">
        <v>0</v>
      </c>
    </row>
    <row r="44" spans="2:9" ht="15" customHeight="1" x14ac:dyDescent="0.2">
      <c r="B44" t="s">
        <v>135</v>
      </c>
      <c r="C44" s="12">
        <v>11</v>
      </c>
      <c r="D44" s="8">
        <v>1.19</v>
      </c>
      <c r="E44" s="12">
        <v>1</v>
      </c>
      <c r="F44" s="8">
        <v>0.24</v>
      </c>
      <c r="G44" s="12">
        <v>10</v>
      </c>
      <c r="H44" s="8">
        <v>2.0699999999999998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161</v>
      </c>
      <c r="C48" s="12">
        <v>88</v>
      </c>
      <c r="D48" s="8">
        <v>9.48</v>
      </c>
      <c r="E48" s="12">
        <v>63</v>
      </c>
      <c r="F48" s="8">
        <v>15.29</v>
      </c>
      <c r="G48" s="12">
        <v>25</v>
      </c>
      <c r="H48" s="8">
        <v>5.18</v>
      </c>
      <c r="I48" s="12">
        <v>0</v>
      </c>
    </row>
    <row r="49" spans="2:9" ht="15" customHeight="1" x14ac:dyDescent="0.2">
      <c r="B49" t="s">
        <v>168</v>
      </c>
      <c r="C49" s="12">
        <v>35</v>
      </c>
      <c r="D49" s="8">
        <v>3.77</v>
      </c>
      <c r="E49" s="12">
        <v>30</v>
      </c>
      <c r="F49" s="8">
        <v>7.28</v>
      </c>
      <c r="G49" s="12">
        <v>5</v>
      </c>
      <c r="H49" s="8">
        <v>1.04</v>
      </c>
      <c r="I49" s="12">
        <v>0</v>
      </c>
    </row>
    <row r="50" spans="2:9" ht="15" customHeight="1" x14ac:dyDescent="0.2">
      <c r="B50" t="s">
        <v>170</v>
      </c>
      <c r="C50" s="12">
        <v>29</v>
      </c>
      <c r="D50" s="8">
        <v>3.13</v>
      </c>
      <c r="E50" s="12">
        <v>22</v>
      </c>
      <c r="F50" s="8">
        <v>5.34</v>
      </c>
      <c r="G50" s="12">
        <v>7</v>
      </c>
      <c r="H50" s="8">
        <v>1.45</v>
      </c>
      <c r="I50" s="12">
        <v>0</v>
      </c>
    </row>
    <row r="51" spans="2:9" ht="15" customHeight="1" x14ac:dyDescent="0.2">
      <c r="B51" t="s">
        <v>167</v>
      </c>
      <c r="C51" s="12">
        <v>26</v>
      </c>
      <c r="D51" s="8">
        <v>2.8</v>
      </c>
      <c r="E51" s="12">
        <v>25</v>
      </c>
      <c r="F51" s="8">
        <v>6.07</v>
      </c>
      <c r="G51" s="12">
        <v>1</v>
      </c>
      <c r="H51" s="8">
        <v>0.21</v>
      </c>
      <c r="I51" s="12">
        <v>0</v>
      </c>
    </row>
    <row r="52" spans="2:9" ht="15" customHeight="1" x14ac:dyDescent="0.2">
      <c r="B52" t="s">
        <v>171</v>
      </c>
      <c r="C52" s="12">
        <v>25</v>
      </c>
      <c r="D52" s="8">
        <v>2.69</v>
      </c>
      <c r="E52" s="12">
        <v>23</v>
      </c>
      <c r="F52" s="8">
        <v>5.58</v>
      </c>
      <c r="G52" s="12">
        <v>2</v>
      </c>
      <c r="H52" s="8">
        <v>0.41</v>
      </c>
      <c r="I52" s="12">
        <v>0</v>
      </c>
    </row>
    <row r="53" spans="2:9" ht="15" customHeight="1" x14ac:dyDescent="0.2">
      <c r="B53" t="s">
        <v>152</v>
      </c>
      <c r="C53" s="12">
        <v>24</v>
      </c>
      <c r="D53" s="8">
        <v>2.59</v>
      </c>
      <c r="E53" s="12">
        <v>2</v>
      </c>
      <c r="F53" s="8">
        <v>0.49</v>
      </c>
      <c r="G53" s="12">
        <v>21</v>
      </c>
      <c r="H53" s="8">
        <v>4.3499999999999996</v>
      </c>
      <c r="I53" s="12">
        <v>1</v>
      </c>
    </row>
    <row r="54" spans="2:9" ht="15" customHeight="1" x14ac:dyDescent="0.2">
      <c r="B54" t="s">
        <v>156</v>
      </c>
      <c r="C54" s="12">
        <v>23</v>
      </c>
      <c r="D54" s="8">
        <v>2.48</v>
      </c>
      <c r="E54" s="12">
        <v>11</v>
      </c>
      <c r="F54" s="8">
        <v>2.67</v>
      </c>
      <c r="G54" s="12">
        <v>12</v>
      </c>
      <c r="H54" s="8">
        <v>2.48</v>
      </c>
      <c r="I54" s="12">
        <v>0</v>
      </c>
    </row>
    <row r="55" spans="2:9" ht="15" customHeight="1" x14ac:dyDescent="0.2">
      <c r="B55" t="s">
        <v>205</v>
      </c>
      <c r="C55" s="12">
        <v>20</v>
      </c>
      <c r="D55" s="8">
        <v>2.16</v>
      </c>
      <c r="E55" s="12">
        <v>6</v>
      </c>
      <c r="F55" s="8">
        <v>1.46</v>
      </c>
      <c r="G55" s="12">
        <v>14</v>
      </c>
      <c r="H55" s="8">
        <v>2.9</v>
      </c>
      <c r="I55" s="12">
        <v>0</v>
      </c>
    </row>
    <row r="56" spans="2:9" ht="15" customHeight="1" x14ac:dyDescent="0.2">
      <c r="B56" t="s">
        <v>163</v>
      </c>
      <c r="C56" s="12">
        <v>18</v>
      </c>
      <c r="D56" s="8">
        <v>1.94</v>
      </c>
      <c r="E56" s="12">
        <v>13</v>
      </c>
      <c r="F56" s="8">
        <v>3.16</v>
      </c>
      <c r="G56" s="12">
        <v>5</v>
      </c>
      <c r="H56" s="8">
        <v>1.04</v>
      </c>
      <c r="I56" s="12">
        <v>0</v>
      </c>
    </row>
    <row r="57" spans="2:9" ht="15" customHeight="1" x14ac:dyDescent="0.2">
      <c r="B57" t="s">
        <v>226</v>
      </c>
      <c r="C57" s="12">
        <v>18</v>
      </c>
      <c r="D57" s="8">
        <v>1.94</v>
      </c>
      <c r="E57" s="12">
        <v>1</v>
      </c>
      <c r="F57" s="8">
        <v>0.24</v>
      </c>
      <c r="G57" s="12">
        <v>1</v>
      </c>
      <c r="H57" s="8">
        <v>0.21</v>
      </c>
      <c r="I57" s="12">
        <v>0</v>
      </c>
    </row>
    <row r="58" spans="2:9" ht="15" customHeight="1" x14ac:dyDescent="0.2">
      <c r="B58" t="s">
        <v>165</v>
      </c>
      <c r="C58" s="12">
        <v>17</v>
      </c>
      <c r="D58" s="8">
        <v>1.83</v>
      </c>
      <c r="E58" s="12">
        <v>16</v>
      </c>
      <c r="F58" s="8">
        <v>3.88</v>
      </c>
      <c r="G58" s="12">
        <v>1</v>
      </c>
      <c r="H58" s="8">
        <v>0.21</v>
      </c>
      <c r="I58" s="12">
        <v>0</v>
      </c>
    </row>
    <row r="59" spans="2:9" ht="15" customHeight="1" x14ac:dyDescent="0.2">
      <c r="B59" t="s">
        <v>155</v>
      </c>
      <c r="C59" s="12">
        <v>16</v>
      </c>
      <c r="D59" s="8">
        <v>1.72</v>
      </c>
      <c r="E59" s="12">
        <v>4</v>
      </c>
      <c r="F59" s="8">
        <v>0.97</v>
      </c>
      <c r="G59" s="12">
        <v>12</v>
      </c>
      <c r="H59" s="8">
        <v>2.48</v>
      </c>
      <c r="I59" s="12">
        <v>0</v>
      </c>
    </row>
    <row r="60" spans="2:9" ht="15" customHeight="1" x14ac:dyDescent="0.2">
      <c r="B60" t="s">
        <v>197</v>
      </c>
      <c r="C60" s="12">
        <v>16</v>
      </c>
      <c r="D60" s="8">
        <v>1.72</v>
      </c>
      <c r="E60" s="12">
        <v>6</v>
      </c>
      <c r="F60" s="8">
        <v>1.46</v>
      </c>
      <c r="G60" s="12">
        <v>10</v>
      </c>
      <c r="H60" s="8">
        <v>2.0699999999999998</v>
      </c>
      <c r="I60" s="12">
        <v>0</v>
      </c>
    </row>
    <row r="61" spans="2:9" ht="15" customHeight="1" x14ac:dyDescent="0.2">
      <c r="B61" t="s">
        <v>160</v>
      </c>
      <c r="C61" s="12">
        <v>16</v>
      </c>
      <c r="D61" s="8">
        <v>1.72</v>
      </c>
      <c r="E61" s="12">
        <v>4</v>
      </c>
      <c r="F61" s="8">
        <v>0.97</v>
      </c>
      <c r="G61" s="12">
        <v>12</v>
      </c>
      <c r="H61" s="8">
        <v>2.48</v>
      </c>
      <c r="I61" s="12">
        <v>0</v>
      </c>
    </row>
    <row r="62" spans="2:9" ht="15" customHeight="1" x14ac:dyDescent="0.2">
      <c r="B62" t="s">
        <v>153</v>
      </c>
      <c r="C62" s="12">
        <v>14</v>
      </c>
      <c r="D62" s="8">
        <v>1.51</v>
      </c>
      <c r="E62" s="12">
        <v>1</v>
      </c>
      <c r="F62" s="8">
        <v>0.24</v>
      </c>
      <c r="G62" s="12">
        <v>13</v>
      </c>
      <c r="H62" s="8">
        <v>2.69</v>
      </c>
      <c r="I62" s="12">
        <v>0</v>
      </c>
    </row>
    <row r="63" spans="2:9" ht="15" customHeight="1" x14ac:dyDescent="0.2">
      <c r="B63" t="s">
        <v>158</v>
      </c>
      <c r="C63" s="12">
        <v>14</v>
      </c>
      <c r="D63" s="8">
        <v>1.51</v>
      </c>
      <c r="E63" s="12">
        <v>5</v>
      </c>
      <c r="F63" s="8">
        <v>1.21</v>
      </c>
      <c r="G63" s="12">
        <v>9</v>
      </c>
      <c r="H63" s="8">
        <v>1.86</v>
      </c>
      <c r="I63" s="12">
        <v>0</v>
      </c>
    </row>
    <row r="64" spans="2:9" ht="15" customHeight="1" x14ac:dyDescent="0.2">
      <c r="B64" t="s">
        <v>164</v>
      </c>
      <c r="C64" s="12">
        <v>14</v>
      </c>
      <c r="D64" s="8">
        <v>1.51</v>
      </c>
      <c r="E64" s="12">
        <v>14</v>
      </c>
      <c r="F64" s="8">
        <v>3.4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227</v>
      </c>
      <c r="C65" s="12">
        <v>14</v>
      </c>
      <c r="D65" s="8">
        <v>1.51</v>
      </c>
      <c r="E65" s="12">
        <v>0</v>
      </c>
      <c r="F65" s="8">
        <v>0</v>
      </c>
      <c r="G65" s="12">
        <v>3</v>
      </c>
      <c r="H65" s="8">
        <v>0.62</v>
      </c>
      <c r="I65" s="12">
        <v>11</v>
      </c>
    </row>
    <row r="66" spans="2:9" ht="15" customHeight="1" x14ac:dyDescent="0.2">
      <c r="B66" t="s">
        <v>188</v>
      </c>
      <c r="C66" s="12">
        <v>13</v>
      </c>
      <c r="D66" s="8">
        <v>1.4</v>
      </c>
      <c r="E66" s="12">
        <v>7</v>
      </c>
      <c r="F66" s="8">
        <v>1.7</v>
      </c>
      <c r="G66" s="12">
        <v>6</v>
      </c>
      <c r="H66" s="8">
        <v>1.24</v>
      </c>
      <c r="I66" s="12">
        <v>0</v>
      </c>
    </row>
    <row r="67" spans="2:9" ht="15" customHeight="1" x14ac:dyDescent="0.2">
      <c r="B67" t="s">
        <v>166</v>
      </c>
      <c r="C67" s="12">
        <v>12</v>
      </c>
      <c r="D67" s="8">
        <v>1.29</v>
      </c>
      <c r="E67" s="12">
        <v>4</v>
      </c>
      <c r="F67" s="8">
        <v>0.97</v>
      </c>
      <c r="G67" s="12">
        <v>8</v>
      </c>
      <c r="H67" s="8">
        <v>1.66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73D0-82EC-4C42-A043-9AF3D94F6DC6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333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290</v>
      </c>
      <c r="D6" s="8">
        <v>19.23</v>
      </c>
      <c r="E6" s="12">
        <v>42</v>
      </c>
      <c r="F6" s="8">
        <v>6.47</v>
      </c>
      <c r="G6" s="12">
        <v>248</v>
      </c>
      <c r="H6" s="8">
        <v>29.35</v>
      </c>
      <c r="I6" s="12">
        <v>0</v>
      </c>
    </row>
    <row r="7" spans="2:9" ht="15" customHeight="1" x14ac:dyDescent="0.2">
      <c r="B7" t="s">
        <v>73</v>
      </c>
      <c r="C7" s="12">
        <v>314</v>
      </c>
      <c r="D7" s="8">
        <v>20.82</v>
      </c>
      <c r="E7" s="12">
        <v>106</v>
      </c>
      <c r="F7" s="8">
        <v>16.329999999999998</v>
      </c>
      <c r="G7" s="12">
        <v>208</v>
      </c>
      <c r="H7" s="8">
        <v>24.62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10</v>
      </c>
      <c r="D9" s="8">
        <v>0.66</v>
      </c>
      <c r="E9" s="12">
        <v>0</v>
      </c>
      <c r="F9" s="8">
        <v>0</v>
      </c>
      <c r="G9" s="12">
        <v>10</v>
      </c>
      <c r="H9" s="8">
        <v>1.18</v>
      </c>
      <c r="I9" s="12">
        <v>0</v>
      </c>
    </row>
    <row r="10" spans="2:9" ht="15" customHeight="1" x14ac:dyDescent="0.2">
      <c r="B10" t="s">
        <v>76</v>
      </c>
      <c r="C10" s="12">
        <v>9</v>
      </c>
      <c r="D10" s="8">
        <v>0.6</v>
      </c>
      <c r="E10" s="12">
        <v>0</v>
      </c>
      <c r="F10" s="8">
        <v>0</v>
      </c>
      <c r="G10" s="12">
        <v>9</v>
      </c>
      <c r="H10" s="8">
        <v>1.07</v>
      </c>
      <c r="I10" s="12">
        <v>0</v>
      </c>
    </row>
    <row r="11" spans="2:9" ht="15" customHeight="1" x14ac:dyDescent="0.2">
      <c r="B11" t="s">
        <v>77</v>
      </c>
      <c r="C11" s="12">
        <v>277</v>
      </c>
      <c r="D11" s="8">
        <v>18.37</v>
      </c>
      <c r="E11" s="12">
        <v>119</v>
      </c>
      <c r="F11" s="8">
        <v>18.34</v>
      </c>
      <c r="G11" s="12">
        <v>158</v>
      </c>
      <c r="H11" s="8">
        <v>18.7</v>
      </c>
      <c r="I11" s="12">
        <v>0</v>
      </c>
    </row>
    <row r="12" spans="2:9" ht="15" customHeight="1" x14ac:dyDescent="0.2">
      <c r="B12" t="s">
        <v>78</v>
      </c>
      <c r="C12" s="12">
        <v>5</v>
      </c>
      <c r="D12" s="8">
        <v>0.33</v>
      </c>
      <c r="E12" s="12">
        <v>0</v>
      </c>
      <c r="F12" s="8">
        <v>0</v>
      </c>
      <c r="G12" s="12">
        <v>5</v>
      </c>
      <c r="H12" s="8">
        <v>0.59</v>
      </c>
      <c r="I12" s="12">
        <v>0</v>
      </c>
    </row>
    <row r="13" spans="2:9" ht="15" customHeight="1" x14ac:dyDescent="0.2">
      <c r="B13" t="s">
        <v>79</v>
      </c>
      <c r="C13" s="12">
        <v>133</v>
      </c>
      <c r="D13" s="8">
        <v>8.82</v>
      </c>
      <c r="E13" s="12">
        <v>64</v>
      </c>
      <c r="F13" s="8">
        <v>9.86</v>
      </c>
      <c r="G13" s="12">
        <v>69</v>
      </c>
      <c r="H13" s="8">
        <v>8.17</v>
      </c>
      <c r="I13" s="12">
        <v>0</v>
      </c>
    </row>
    <row r="14" spans="2:9" ht="15" customHeight="1" x14ac:dyDescent="0.2">
      <c r="B14" t="s">
        <v>80</v>
      </c>
      <c r="C14" s="12">
        <v>52</v>
      </c>
      <c r="D14" s="8">
        <v>3.45</v>
      </c>
      <c r="E14" s="12">
        <v>23</v>
      </c>
      <c r="F14" s="8">
        <v>3.54</v>
      </c>
      <c r="G14" s="12">
        <v>29</v>
      </c>
      <c r="H14" s="8">
        <v>3.43</v>
      </c>
      <c r="I14" s="12">
        <v>0</v>
      </c>
    </row>
    <row r="15" spans="2:9" ht="15" customHeight="1" x14ac:dyDescent="0.2">
      <c r="B15" t="s">
        <v>81</v>
      </c>
      <c r="C15" s="12">
        <v>102</v>
      </c>
      <c r="D15" s="8">
        <v>6.76</v>
      </c>
      <c r="E15" s="12">
        <v>84</v>
      </c>
      <c r="F15" s="8">
        <v>12.94</v>
      </c>
      <c r="G15" s="12">
        <v>18</v>
      </c>
      <c r="H15" s="8">
        <v>2.13</v>
      </c>
      <c r="I15" s="12">
        <v>0</v>
      </c>
    </row>
    <row r="16" spans="2:9" ht="15" customHeight="1" x14ac:dyDescent="0.2">
      <c r="B16" t="s">
        <v>82</v>
      </c>
      <c r="C16" s="12">
        <v>153</v>
      </c>
      <c r="D16" s="8">
        <v>10.15</v>
      </c>
      <c r="E16" s="12">
        <v>124</v>
      </c>
      <c r="F16" s="8">
        <v>19.11</v>
      </c>
      <c r="G16" s="12">
        <v>29</v>
      </c>
      <c r="H16" s="8">
        <v>3.43</v>
      </c>
      <c r="I16" s="12">
        <v>0</v>
      </c>
    </row>
    <row r="17" spans="2:9" ht="15" customHeight="1" x14ac:dyDescent="0.2">
      <c r="B17" t="s">
        <v>83</v>
      </c>
      <c r="C17" s="12">
        <v>50</v>
      </c>
      <c r="D17" s="8">
        <v>3.32</v>
      </c>
      <c r="E17" s="12">
        <v>34</v>
      </c>
      <c r="F17" s="8">
        <v>5.24</v>
      </c>
      <c r="G17" s="12">
        <v>14</v>
      </c>
      <c r="H17" s="8">
        <v>1.66</v>
      </c>
      <c r="I17" s="12">
        <v>0</v>
      </c>
    </row>
    <row r="18" spans="2:9" ht="15" customHeight="1" x14ac:dyDescent="0.2">
      <c r="B18" t="s">
        <v>84</v>
      </c>
      <c r="C18" s="12">
        <v>72</v>
      </c>
      <c r="D18" s="8">
        <v>4.7699999999999996</v>
      </c>
      <c r="E18" s="12">
        <v>38</v>
      </c>
      <c r="F18" s="8">
        <v>5.86</v>
      </c>
      <c r="G18" s="12">
        <v>23</v>
      </c>
      <c r="H18" s="8">
        <v>2.72</v>
      </c>
      <c r="I18" s="12">
        <v>0</v>
      </c>
    </row>
    <row r="19" spans="2:9" ht="15" customHeight="1" x14ac:dyDescent="0.2">
      <c r="B19" t="s">
        <v>85</v>
      </c>
      <c r="C19" s="12">
        <v>41</v>
      </c>
      <c r="D19" s="8">
        <v>2.72</v>
      </c>
      <c r="E19" s="12">
        <v>15</v>
      </c>
      <c r="F19" s="8">
        <v>2.31</v>
      </c>
      <c r="G19" s="12">
        <v>25</v>
      </c>
      <c r="H19" s="8">
        <v>2.96</v>
      </c>
      <c r="I19" s="12">
        <v>1</v>
      </c>
    </row>
    <row r="20" spans="2:9" ht="15" customHeight="1" x14ac:dyDescent="0.2">
      <c r="B20" s="9" t="s">
        <v>277</v>
      </c>
      <c r="C20" s="12">
        <f>SUM(LTBL_23237[総数／事業所数])</f>
        <v>1508</v>
      </c>
      <c r="E20" s="12">
        <f>SUBTOTAL(109,LTBL_23237[個人／事業所数])</f>
        <v>649</v>
      </c>
      <c r="G20" s="12">
        <f>SUBTOTAL(109,LTBL_23237[法人／事業所数])</f>
        <v>845</v>
      </c>
      <c r="I20" s="12">
        <f>SUBTOTAL(109,LTBL_23237[法人以外の団体／事業所数])</f>
        <v>1</v>
      </c>
    </row>
    <row r="21" spans="2:9" ht="15" customHeight="1" x14ac:dyDescent="0.2">
      <c r="E21" s="11">
        <f>LTBL_23237[[#Totals],[個人／事業所数]]/LTBL_23237[[#Totals],[総数／事業所数]]</f>
        <v>0.43037135278514588</v>
      </c>
      <c r="G21" s="11">
        <f>LTBL_23237[[#Totals],[法人／事業所数]]/LTBL_23237[[#Totals],[総数／事業所数]]</f>
        <v>0.56034482758620685</v>
      </c>
      <c r="I21" s="11">
        <f>LTBL_23237[[#Totals],[法人以外の団体／事業所数]]/LTBL_23237[[#Totals],[総数／事業所数]]</f>
        <v>6.6312997347480103E-4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120</v>
      </c>
      <c r="D24" s="8">
        <v>7.96</v>
      </c>
      <c r="E24" s="12">
        <v>107</v>
      </c>
      <c r="F24" s="8">
        <v>16.489999999999998</v>
      </c>
      <c r="G24" s="12">
        <v>13</v>
      </c>
      <c r="H24" s="8">
        <v>1.54</v>
      </c>
      <c r="I24" s="12">
        <v>0</v>
      </c>
    </row>
    <row r="25" spans="2:9" ht="15" customHeight="1" x14ac:dyDescent="0.2">
      <c r="B25" t="s">
        <v>95</v>
      </c>
      <c r="C25" s="12">
        <v>114</v>
      </c>
      <c r="D25" s="8">
        <v>7.56</v>
      </c>
      <c r="E25" s="12">
        <v>19</v>
      </c>
      <c r="F25" s="8">
        <v>2.93</v>
      </c>
      <c r="G25" s="12">
        <v>95</v>
      </c>
      <c r="H25" s="8">
        <v>11.24</v>
      </c>
      <c r="I25" s="12">
        <v>0</v>
      </c>
    </row>
    <row r="26" spans="2:9" ht="15" customHeight="1" x14ac:dyDescent="0.2">
      <c r="B26" t="s">
        <v>107</v>
      </c>
      <c r="C26" s="12">
        <v>104</v>
      </c>
      <c r="D26" s="8">
        <v>6.9</v>
      </c>
      <c r="E26" s="12">
        <v>58</v>
      </c>
      <c r="F26" s="8">
        <v>8.94</v>
      </c>
      <c r="G26" s="12">
        <v>46</v>
      </c>
      <c r="H26" s="8">
        <v>5.44</v>
      </c>
      <c r="I26" s="12">
        <v>0</v>
      </c>
    </row>
    <row r="27" spans="2:9" ht="15" customHeight="1" x14ac:dyDescent="0.2">
      <c r="B27" t="s">
        <v>110</v>
      </c>
      <c r="C27" s="12">
        <v>96</v>
      </c>
      <c r="D27" s="8">
        <v>6.37</v>
      </c>
      <c r="E27" s="12">
        <v>82</v>
      </c>
      <c r="F27" s="8">
        <v>12.63</v>
      </c>
      <c r="G27" s="12">
        <v>14</v>
      </c>
      <c r="H27" s="8">
        <v>1.66</v>
      </c>
      <c r="I27" s="12">
        <v>0</v>
      </c>
    </row>
    <row r="28" spans="2:9" ht="15" customHeight="1" x14ac:dyDescent="0.2">
      <c r="B28" t="s">
        <v>96</v>
      </c>
      <c r="C28" s="12">
        <v>90</v>
      </c>
      <c r="D28" s="8">
        <v>5.97</v>
      </c>
      <c r="E28" s="12">
        <v>11</v>
      </c>
      <c r="F28" s="8">
        <v>1.69</v>
      </c>
      <c r="G28" s="12">
        <v>79</v>
      </c>
      <c r="H28" s="8">
        <v>9.35</v>
      </c>
      <c r="I28" s="12">
        <v>0</v>
      </c>
    </row>
    <row r="29" spans="2:9" ht="15" customHeight="1" x14ac:dyDescent="0.2">
      <c r="B29" t="s">
        <v>94</v>
      </c>
      <c r="C29" s="12">
        <v>86</v>
      </c>
      <c r="D29" s="8">
        <v>5.7</v>
      </c>
      <c r="E29" s="12">
        <v>12</v>
      </c>
      <c r="F29" s="8">
        <v>1.85</v>
      </c>
      <c r="G29" s="12">
        <v>74</v>
      </c>
      <c r="H29" s="8">
        <v>8.76</v>
      </c>
      <c r="I29" s="12">
        <v>0</v>
      </c>
    </row>
    <row r="30" spans="2:9" ht="15" customHeight="1" x14ac:dyDescent="0.2">
      <c r="B30" t="s">
        <v>97</v>
      </c>
      <c r="C30" s="12">
        <v>61</v>
      </c>
      <c r="D30" s="8">
        <v>4.05</v>
      </c>
      <c r="E30" s="12">
        <v>17</v>
      </c>
      <c r="F30" s="8">
        <v>2.62</v>
      </c>
      <c r="G30" s="12">
        <v>44</v>
      </c>
      <c r="H30" s="8">
        <v>5.21</v>
      </c>
      <c r="I30" s="12">
        <v>0</v>
      </c>
    </row>
    <row r="31" spans="2:9" ht="15" customHeight="1" x14ac:dyDescent="0.2">
      <c r="B31" t="s">
        <v>105</v>
      </c>
      <c r="C31" s="12">
        <v>60</v>
      </c>
      <c r="D31" s="8">
        <v>3.98</v>
      </c>
      <c r="E31" s="12">
        <v>33</v>
      </c>
      <c r="F31" s="8">
        <v>5.08</v>
      </c>
      <c r="G31" s="12">
        <v>27</v>
      </c>
      <c r="H31" s="8">
        <v>3.2</v>
      </c>
      <c r="I31" s="12">
        <v>0</v>
      </c>
    </row>
    <row r="32" spans="2:9" ht="15" customHeight="1" x14ac:dyDescent="0.2">
      <c r="B32" t="s">
        <v>104</v>
      </c>
      <c r="C32" s="12">
        <v>51</v>
      </c>
      <c r="D32" s="8">
        <v>3.38</v>
      </c>
      <c r="E32" s="12">
        <v>26</v>
      </c>
      <c r="F32" s="8">
        <v>4.01</v>
      </c>
      <c r="G32" s="12">
        <v>25</v>
      </c>
      <c r="H32" s="8">
        <v>2.96</v>
      </c>
      <c r="I32" s="12">
        <v>0</v>
      </c>
    </row>
    <row r="33" spans="2:9" ht="15" customHeight="1" x14ac:dyDescent="0.2">
      <c r="B33" t="s">
        <v>112</v>
      </c>
      <c r="C33" s="12">
        <v>50</v>
      </c>
      <c r="D33" s="8">
        <v>3.32</v>
      </c>
      <c r="E33" s="12">
        <v>34</v>
      </c>
      <c r="F33" s="8">
        <v>5.24</v>
      </c>
      <c r="G33" s="12">
        <v>14</v>
      </c>
      <c r="H33" s="8">
        <v>1.66</v>
      </c>
      <c r="I33" s="12">
        <v>0</v>
      </c>
    </row>
    <row r="34" spans="2:9" ht="15" customHeight="1" x14ac:dyDescent="0.2">
      <c r="B34" t="s">
        <v>113</v>
      </c>
      <c r="C34" s="12">
        <v>44</v>
      </c>
      <c r="D34" s="8">
        <v>2.92</v>
      </c>
      <c r="E34" s="12">
        <v>38</v>
      </c>
      <c r="F34" s="8">
        <v>5.86</v>
      </c>
      <c r="G34" s="12">
        <v>6</v>
      </c>
      <c r="H34" s="8">
        <v>0.71</v>
      </c>
      <c r="I34" s="12">
        <v>0</v>
      </c>
    </row>
    <row r="35" spans="2:9" ht="15" customHeight="1" x14ac:dyDescent="0.2">
      <c r="B35" t="s">
        <v>98</v>
      </c>
      <c r="C35" s="12">
        <v>43</v>
      </c>
      <c r="D35" s="8">
        <v>2.85</v>
      </c>
      <c r="E35" s="12">
        <v>7</v>
      </c>
      <c r="F35" s="8">
        <v>1.08</v>
      </c>
      <c r="G35" s="12">
        <v>36</v>
      </c>
      <c r="H35" s="8">
        <v>4.26</v>
      </c>
      <c r="I35" s="12">
        <v>0</v>
      </c>
    </row>
    <row r="36" spans="2:9" ht="15" customHeight="1" x14ac:dyDescent="0.2">
      <c r="B36" t="s">
        <v>129</v>
      </c>
      <c r="C36" s="12">
        <v>36</v>
      </c>
      <c r="D36" s="8">
        <v>2.39</v>
      </c>
      <c r="E36" s="12">
        <v>30</v>
      </c>
      <c r="F36" s="8">
        <v>4.62</v>
      </c>
      <c r="G36" s="12">
        <v>6</v>
      </c>
      <c r="H36" s="8">
        <v>0.71</v>
      </c>
      <c r="I36" s="12">
        <v>0</v>
      </c>
    </row>
    <row r="37" spans="2:9" ht="15" customHeight="1" x14ac:dyDescent="0.2">
      <c r="B37" t="s">
        <v>99</v>
      </c>
      <c r="C37" s="12">
        <v>35</v>
      </c>
      <c r="D37" s="8">
        <v>2.3199999999999998</v>
      </c>
      <c r="E37" s="12">
        <v>9</v>
      </c>
      <c r="F37" s="8">
        <v>1.39</v>
      </c>
      <c r="G37" s="12">
        <v>26</v>
      </c>
      <c r="H37" s="8">
        <v>3.08</v>
      </c>
      <c r="I37" s="12">
        <v>0</v>
      </c>
    </row>
    <row r="38" spans="2:9" ht="15" customHeight="1" x14ac:dyDescent="0.2">
      <c r="B38" t="s">
        <v>103</v>
      </c>
      <c r="C38" s="12">
        <v>34</v>
      </c>
      <c r="D38" s="8">
        <v>2.25</v>
      </c>
      <c r="E38" s="12">
        <v>22</v>
      </c>
      <c r="F38" s="8">
        <v>3.39</v>
      </c>
      <c r="G38" s="12">
        <v>12</v>
      </c>
      <c r="H38" s="8">
        <v>1.42</v>
      </c>
      <c r="I38" s="12">
        <v>0</v>
      </c>
    </row>
    <row r="39" spans="2:9" ht="15" customHeight="1" x14ac:dyDescent="0.2">
      <c r="B39" t="s">
        <v>101</v>
      </c>
      <c r="C39" s="12">
        <v>28</v>
      </c>
      <c r="D39" s="8">
        <v>1.86</v>
      </c>
      <c r="E39" s="12">
        <v>8</v>
      </c>
      <c r="F39" s="8">
        <v>1.23</v>
      </c>
      <c r="G39" s="12">
        <v>20</v>
      </c>
      <c r="H39" s="8">
        <v>2.37</v>
      </c>
      <c r="I39" s="12">
        <v>0</v>
      </c>
    </row>
    <row r="40" spans="2:9" ht="15" customHeight="1" x14ac:dyDescent="0.2">
      <c r="B40" t="s">
        <v>116</v>
      </c>
      <c r="C40" s="12">
        <v>28</v>
      </c>
      <c r="D40" s="8">
        <v>1.86</v>
      </c>
      <c r="E40" s="12">
        <v>0</v>
      </c>
      <c r="F40" s="8">
        <v>0</v>
      </c>
      <c r="G40" s="12">
        <v>17</v>
      </c>
      <c r="H40" s="8">
        <v>2.0099999999999998</v>
      </c>
      <c r="I40" s="12">
        <v>0</v>
      </c>
    </row>
    <row r="41" spans="2:9" ht="15" customHeight="1" x14ac:dyDescent="0.2">
      <c r="B41" t="s">
        <v>131</v>
      </c>
      <c r="C41" s="12">
        <v>25</v>
      </c>
      <c r="D41" s="8">
        <v>1.66</v>
      </c>
      <c r="E41" s="12">
        <v>5</v>
      </c>
      <c r="F41" s="8">
        <v>0.77</v>
      </c>
      <c r="G41" s="12">
        <v>20</v>
      </c>
      <c r="H41" s="8">
        <v>2.37</v>
      </c>
      <c r="I41" s="12">
        <v>0</v>
      </c>
    </row>
    <row r="42" spans="2:9" ht="15" customHeight="1" x14ac:dyDescent="0.2">
      <c r="B42" t="s">
        <v>109</v>
      </c>
      <c r="C42" s="12">
        <v>25</v>
      </c>
      <c r="D42" s="8">
        <v>1.66</v>
      </c>
      <c r="E42" s="12">
        <v>9</v>
      </c>
      <c r="F42" s="8">
        <v>1.39</v>
      </c>
      <c r="G42" s="12">
        <v>16</v>
      </c>
      <c r="H42" s="8">
        <v>1.89</v>
      </c>
      <c r="I42" s="12">
        <v>0</v>
      </c>
    </row>
    <row r="43" spans="2:9" ht="15" customHeight="1" x14ac:dyDescent="0.2">
      <c r="B43" t="s">
        <v>115</v>
      </c>
      <c r="C43" s="12">
        <v>25</v>
      </c>
      <c r="D43" s="8">
        <v>1.66</v>
      </c>
      <c r="E43" s="12">
        <v>13</v>
      </c>
      <c r="F43" s="8">
        <v>2</v>
      </c>
      <c r="G43" s="12">
        <v>12</v>
      </c>
      <c r="H43" s="8">
        <v>1.42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64</v>
      </c>
      <c r="D47" s="8">
        <v>4.24</v>
      </c>
      <c r="E47" s="12">
        <v>45</v>
      </c>
      <c r="F47" s="8">
        <v>6.93</v>
      </c>
      <c r="G47" s="12">
        <v>19</v>
      </c>
      <c r="H47" s="8">
        <v>2.25</v>
      </c>
      <c r="I47" s="12">
        <v>0</v>
      </c>
    </row>
    <row r="48" spans="2:9" ht="15" customHeight="1" x14ac:dyDescent="0.2">
      <c r="B48" t="s">
        <v>168</v>
      </c>
      <c r="C48" s="12">
        <v>60</v>
      </c>
      <c r="D48" s="8">
        <v>3.98</v>
      </c>
      <c r="E48" s="12">
        <v>55</v>
      </c>
      <c r="F48" s="8">
        <v>8.4700000000000006</v>
      </c>
      <c r="G48" s="12">
        <v>5</v>
      </c>
      <c r="H48" s="8">
        <v>0.59</v>
      </c>
      <c r="I48" s="12">
        <v>0</v>
      </c>
    </row>
    <row r="49" spans="2:9" ht="15" customHeight="1" x14ac:dyDescent="0.2">
      <c r="B49" t="s">
        <v>165</v>
      </c>
      <c r="C49" s="12">
        <v>51</v>
      </c>
      <c r="D49" s="8">
        <v>3.38</v>
      </c>
      <c r="E49" s="12">
        <v>47</v>
      </c>
      <c r="F49" s="8">
        <v>7.24</v>
      </c>
      <c r="G49" s="12">
        <v>4</v>
      </c>
      <c r="H49" s="8">
        <v>0.47</v>
      </c>
      <c r="I49" s="12">
        <v>0</v>
      </c>
    </row>
    <row r="50" spans="2:9" ht="15" customHeight="1" x14ac:dyDescent="0.2">
      <c r="B50" t="s">
        <v>171</v>
      </c>
      <c r="C50" s="12">
        <v>34</v>
      </c>
      <c r="D50" s="8">
        <v>2.25</v>
      </c>
      <c r="E50" s="12">
        <v>31</v>
      </c>
      <c r="F50" s="8">
        <v>4.78</v>
      </c>
      <c r="G50" s="12">
        <v>3</v>
      </c>
      <c r="H50" s="8">
        <v>0.36</v>
      </c>
      <c r="I50" s="12">
        <v>0</v>
      </c>
    </row>
    <row r="51" spans="2:9" ht="15" customHeight="1" x14ac:dyDescent="0.2">
      <c r="B51" t="s">
        <v>167</v>
      </c>
      <c r="C51" s="12">
        <v>33</v>
      </c>
      <c r="D51" s="8">
        <v>2.19</v>
      </c>
      <c r="E51" s="12">
        <v>32</v>
      </c>
      <c r="F51" s="8">
        <v>4.93</v>
      </c>
      <c r="G51" s="12">
        <v>1</v>
      </c>
      <c r="H51" s="8">
        <v>0.12</v>
      </c>
      <c r="I51" s="12">
        <v>0</v>
      </c>
    </row>
    <row r="52" spans="2:9" ht="15" customHeight="1" x14ac:dyDescent="0.2">
      <c r="B52" t="s">
        <v>184</v>
      </c>
      <c r="C52" s="12">
        <v>30</v>
      </c>
      <c r="D52" s="8">
        <v>1.99</v>
      </c>
      <c r="E52" s="12">
        <v>4</v>
      </c>
      <c r="F52" s="8">
        <v>0.62</v>
      </c>
      <c r="G52" s="12">
        <v>26</v>
      </c>
      <c r="H52" s="8">
        <v>3.08</v>
      </c>
      <c r="I52" s="12">
        <v>0</v>
      </c>
    </row>
    <row r="53" spans="2:9" ht="15" customHeight="1" x14ac:dyDescent="0.2">
      <c r="B53" t="s">
        <v>154</v>
      </c>
      <c r="C53" s="12">
        <v>30</v>
      </c>
      <c r="D53" s="8">
        <v>1.99</v>
      </c>
      <c r="E53" s="12">
        <v>5</v>
      </c>
      <c r="F53" s="8">
        <v>0.77</v>
      </c>
      <c r="G53" s="12">
        <v>25</v>
      </c>
      <c r="H53" s="8">
        <v>2.96</v>
      </c>
      <c r="I53" s="12">
        <v>0</v>
      </c>
    </row>
    <row r="54" spans="2:9" ht="15" customHeight="1" x14ac:dyDescent="0.2">
      <c r="B54" t="s">
        <v>170</v>
      </c>
      <c r="C54" s="12">
        <v>30</v>
      </c>
      <c r="D54" s="8">
        <v>1.99</v>
      </c>
      <c r="E54" s="12">
        <v>23</v>
      </c>
      <c r="F54" s="8">
        <v>3.54</v>
      </c>
      <c r="G54" s="12">
        <v>7</v>
      </c>
      <c r="H54" s="8">
        <v>0.83</v>
      </c>
      <c r="I54" s="12">
        <v>0</v>
      </c>
    </row>
    <row r="55" spans="2:9" ht="15" customHeight="1" x14ac:dyDescent="0.2">
      <c r="B55" t="s">
        <v>228</v>
      </c>
      <c r="C55" s="12">
        <v>28</v>
      </c>
      <c r="D55" s="8">
        <v>1.86</v>
      </c>
      <c r="E55" s="12">
        <v>27</v>
      </c>
      <c r="F55" s="8">
        <v>4.16</v>
      </c>
      <c r="G55" s="12">
        <v>1</v>
      </c>
      <c r="H55" s="8">
        <v>0.12</v>
      </c>
      <c r="I55" s="12">
        <v>0</v>
      </c>
    </row>
    <row r="56" spans="2:9" ht="15" customHeight="1" x14ac:dyDescent="0.2">
      <c r="B56" t="s">
        <v>156</v>
      </c>
      <c r="C56" s="12">
        <v>28</v>
      </c>
      <c r="D56" s="8">
        <v>1.86</v>
      </c>
      <c r="E56" s="12">
        <v>14</v>
      </c>
      <c r="F56" s="8">
        <v>2.16</v>
      </c>
      <c r="G56" s="12">
        <v>14</v>
      </c>
      <c r="H56" s="8">
        <v>1.66</v>
      </c>
      <c r="I56" s="12">
        <v>0</v>
      </c>
    </row>
    <row r="57" spans="2:9" ht="15" customHeight="1" x14ac:dyDescent="0.2">
      <c r="B57" t="s">
        <v>153</v>
      </c>
      <c r="C57" s="12">
        <v>25</v>
      </c>
      <c r="D57" s="8">
        <v>1.66</v>
      </c>
      <c r="E57" s="12">
        <v>4</v>
      </c>
      <c r="F57" s="8">
        <v>0.62</v>
      </c>
      <c r="G57" s="12">
        <v>21</v>
      </c>
      <c r="H57" s="8">
        <v>2.4900000000000002</v>
      </c>
      <c r="I57" s="12">
        <v>0</v>
      </c>
    </row>
    <row r="58" spans="2:9" ht="15" customHeight="1" x14ac:dyDescent="0.2">
      <c r="B58" t="s">
        <v>196</v>
      </c>
      <c r="C58" s="12">
        <v>24</v>
      </c>
      <c r="D58" s="8">
        <v>1.59</v>
      </c>
      <c r="E58" s="12">
        <v>4</v>
      </c>
      <c r="F58" s="8">
        <v>0.62</v>
      </c>
      <c r="G58" s="12">
        <v>20</v>
      </c>
      <c r="H58" s="8">
        <v>2.37</v>
      </c>
      <c r="I58" s="12">
        <v>0</v>
      </c>
    </row>
    <row r="59" spans="2:9" ht="15" customHeight="1" x14ac:dyDescent="0.2">
      <c r="B59" t="s">
        <v>152</v>
      </c>
      <c r="C59" s="12">
        <v>23</v>
      </c>
      <c r="D59" s="8">
        <v>1.53</v>
      </c>
      <c r="E59" s="12">
        <v>1</v>
      </c>
      <c r="F59" s="8">
        <v>0.15</v>
      </c>
      <c r="G59" s="12">
        <v>22</v>
      </c>
      <c r="H59" s="8">
        <v>2.6</v>
      </c>
      <c r="I59" s="12">
        <v>0</v>
      </c>
    </row>
    <row r="60" spans="2:9" ht="15" customHeight="1" x14ac:dyDescent="0.2">
      <c r="B60" t="s">
        <v>204</v>
      </c>
      <c r="C60" s="12">
        <v>23</v>
      </c>
      <c r="D60" s="8">
        <v>1.53</v>
      </c>
      <c r="E60" s="12">
        <v>3</v>
      </c>
      <c r="F60" s="8">
        <v>0.46</v>
      </c>
      <c r="G60" s="12">
        <v>20</v>
      </c>
      <c r="H60" s="8">
        <v>2.37</v>
      </c>
      <c r="I60" s="12">
        <v>0</v>
      </c>
    </row>
    <row r="61" spans="2:9" ht="15" customHeight="1" x14ac:dyDescent="0.2">
      <c r="B61" t="s">
        <v>155</v>
      </c>
      <c r="C61" s="12">
        <v>23</v>
      </c>
      <c r="D61" s="8">
        <v>1.53</v>
      </c>
      <c r="E61" s="12">
        <v>3</v>
      </c>
      <c r="F61" s="8">
        <v>0.46</v>
      </c>
      <c r="G61" s="12">
        <v>20</v>
      </c>
      <c r="H61" s="8">
        <v>2.37</v>
      </c>
      <c r="I61" s="12">
        <v>0</v>
      </c>
    </row>
    <row r="62" spans="2:9" ht="15" customHeight="1" x14ac:dyDescent="0.2">
      <c r="B62" t="s">
        <v>163</v>
      </c>
      <c r="C62" s="12">
        <v>23</v>
      </c>
      <c r="D62" s="8">
        <v>1.53</v>
      </c>
      <c r="E62" s="12">
        <v>17</v>
      </c>
      <c r="F62" s="8">
        <v>2.62</v>
      </c>
      <c r="G62" s="12">
        <v>6</v>
      </c>
      <c r="H62" s="8">
        <v>0.71</v>
      </c>
      <c r="I62" s="12">
        <v>0</v>
      </c>
    </row>
    <row r="63" spans="2:9" ht="15" customHeight="1" x14ac:dyDescent="0.2">
      <c r="B63" t="s">
        <v>203</v>
      </c>
      <c r="C63" s="12">
        <v>21</v>
      </c>
      <c r="D63" s="8">
        <v>1.39</v>
      </c>
      <c r="E63" s="12">
        <v>3</v>
      </c>
      <c r="F63" s="8">
        <v>0.46</v>
      </c>
      <c r="G63" s="12">
        <v>18</v>
      </c>
      <c r="H63" s="8">
        <v>2.13</v>
      </c>
      <c r="I63" s="12">
        <v>0</v>
      </c>
    </row>
    <row r="64" spans="2:9" ht="15" customHeight="1" x14ac:dyDescent="0.2">
      <c r="B64" t="s">
        <v>199</v>
      </c>
      <c r="C64" s="12">
        <v>20</v>
      </c>
      <c r="D64" s="8">
        <v>1.33</v>
      </c>
      <c r="E64" s="12">
        <v>1</v>
      </c>
      <c r="F64" s="8">
        <v>0.15</v>
      </c>
      <c r="G64" s="12">
        <v>19</v>
      </c>
      <c r="H64" s="8">
        <v>2.25</v>
      </c>
      <c r="I64" s="12">
        <v>0</v>
      </c>
    </row>
    <row r="65" spans="2:9" ht="15" customHeight="1" x14ac:dyDescent="0.2">
      <c r="B65" t="s">
        <v>160</v>
      </c>
      <c r="C65" s="12">
        <v>20</v>
      </c>
      <c r="D65" s="8">
        <v>1.33</v>
      </c>
      <c r="E65" s="12">
        <v>8</v>
      </c>
      <c r="F65" s="8">
        <v>1.23</v>
      </c>
      <c r="G65" s="12">
        <v>12</v>
      </c>
      <c r="H65" s="8">
        <v>1.42</v>
      </c>
      <c r="I65" s="12">
        <v>0</v>
      </c>
    </row>
    <row r="66" spans="2:9" ht="15" customHeight="1" x14ac:dyDescent="0.2">
      <c r="B66" t="s">
        <v>198</v>
      </c>
      <c r="C66" s="12">
        <v>18</v>
      </c>
      <c r="D66" s="8">
        <v>1.19</v>
      </c>
      <c r="E66" s="12">
        <v>8</v>
      </c>
      <c r="F66" s="8">
        <v>1.23</v>
      </c>
      <c r="G66" s="12">
        <v>10</v>
      </c>
      <c r="H66" s="8">
        <v>1.18</v>
      </c>
      <c r="I66" s="12">
        <v>0</v>
      </c>
    </row>
    <row r="67" spans="2:9" ht="15" customHeight="1" x14ac:dyDescent="0.2">
      <c r="B67" t="s">
        <v>159</v>
      </c>
      <c r="C67" s="12">
        <v>18</v>
      </c>
      <c r="D67" s="8">
        <v>1.19</v>
      </c>
      <c r="E67" s="12">
        <v>5</v>
      </c>
      <c r="F67" s="8">
        <v>0.77</v>
      </c>
      <c r="G67" s="12">
        <v>13</v>
      </c>
      <c r="H67" s="8">
        <v>1.54</v>
      </c>
      <c r="I67" s="12">
        <v>0</v>
      </c>
    </row>
    <row r="68" spans="2:9" ht="15" customHeight="1" x14ac:dyDescent="0.2">
      <c r="B68" t="s">
        <v>166</v>
      </c>
      <c r="C68" s="12">
        <v>18</v>
      </c>
      <c r="D68" s="8">
        <v>1.19</v>
      </c>
      <c r="E68" s="12">
        <v>12</v>
      </c>
      <c r="F68" s="8">
        <v>1.85</v>
      </c>
      <c r="G68" s="12">
        <v>6</v>
      </c>
      <c r="H68" s="8">
        <v>0.71</v>
      </c>
      <c r="I68" s="12">
        <v>0</v>
      </c>
    </row>
    <row r="69" spans="2:9" ht="15" customHeight="1" x14ac:dyDescent="0.2">
      <c r="B69" t="s">
        <v>169</v>
      </c>
      <c r="C69" s="12">
        <v>18</v>
      </c>
      <c r="D69" s="8">
        <v>1.19</v>
      </c>
      <c r="E69" s="12">
        <v>11</v>
      </c>
      <c r="F69" s="8">
        <v>1.69</v>
      </c>
      <c r="G69" s="12">
        <v>7</v>
      </c>
      <c r="H69" s="8">
        <v>0.83</v>
      </c>
      <c r="I69" s="12">
        <v>0</v>
      </c>
    </row>
    <row r="71" spans="2:9" ht="15" customHeight="1" x14ac:dyDescent="0.2">
      <c r="B71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B893F-7D32-4F3C-8757-8DE8DC173A31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334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2">
      <c r="B6" t="s">
        <v>72</v>
      </c>
      <c r="C6" s="12">
        <v>146</v>
      </c>
      <c r="D6" s="8">
        <v>15.42</v>
      </c>
      <c r="E6" s="12">
        <v>20</v>
      </c>
      <c r="F6" s="8">
        <v>5.68</v>
      </c>
      <c r="G6" s="12">
        <v>126</v>
      </c>
      <c r="H6" s="8">
        <v>21.28</v>
      </c>
      <c r="I6" s="12">
        <v>0</v>
      </c>
    </row>
    <row r="7" spans="2:9" ht="15" customHeight="1" x14ac:dyDescent="0.2">
      <c r="B7" t="s">
        <v>73</v>
      </c>
      <c r="C7" s="12">
        <v>49</v>
      </c>
      <c r="D7" s="8">
        <v>5.17</v>
      </c>
      <c r="E7" s="12">
        <v>17</v>
      </c>
      <c r="F7" s="8">
        <v>4.83</v>
      </c>
      <c r="G7" s="12">
        <v>32</v>
      </c>
      <c r="H7" s="8">
        <v>5.41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9</v>
      </c>
      <c r="D9" s="8">
        <v>0.95</v>
      </c>
      <c r="E9" s="12">
        <v>0</v>
      </c>
      <c r="F9" s="8">
        <v>0</v>
      </c>
      <c r="G9" s="12">
        <v>9</v>
      </c>
      <c r="H9" s="8">
        <v>1.52</v>
      </c>
      <c r="I9" s="12">
        <v>0</v>
      </c>
    </row>
    <row r="10" spans="2:9" ht="15" customHeight="1" x14ac:dyDescent="0.2">
      <c r="B10" t="s">
        <v>76</v>
      </c>
      <c r="C10" s="12">
        <v>5</v>
      </c>
      <c r="D10" s="8">
        <v>0.53</v>
      </c>
      <c r="E10" s="12">
        <v>1</v>
      </c>
      <c r="F10" s="8">
        <v>0.28000000000000003</v>
      </c>
      <c r="G10" s="12">
        <v>4</v>
      </c>
      <c r="H10" s="8">
        <v>0.68</v>
      </c>
      <c r="I10" s="12">
        <v>0</v>
      </c>
    </row>
    <row r="11" spans="2:9" ht="15" customHeight="1" x14ac:dyDescent="0.2">
      <c r="B11" t="s">
        <v>77</v>
      </c>
      <c r="C11" s="12">
        <v>212</v>
      </c>
      <c r="D11" s="8">
        <v>22.39</v>
      </c>
      <c r="E11" s="12">
        <v>50</v>
      </c>
      <c r="F11" s="8">
        <v>14.2</v>
      </c>
      <c r="G11" s="12">
        <v>162</v>
      </c>
      <c r="H11" s="8">
        <v>27.36</v>
      </c>
      <c r="I11" s="12">
        <v>0</v>
      </c>
    </row>
    <row r="12" spans="2:9" ht="15" customHeight="1" x14ac:dyDescent="0.2">
      <c r="B12" t="s">
        <v>78</v>
      </c>
      <c r="C12" s="12">
        <v>5</v>
      </c>
      <c r="D12" s="8">
        <v>0.53</v>
      </c>
      <c r="E12" s="12">
        <v>1</v>
      </c>
      <c r="F12" s="8">
        <v>0.28000000000000003</v>
      </c>
      <c r="G12" s="12">
        <v>4</v>
      </c>
      <c r="H12" s="8">
        <v>0.68</v>
      </c>
      <c r="I12" s="12">
        <v>0</v>
      </c>
    </row>
    <row r="13" spans="2:9" ht="15" customHeight="1" x14ac:dyDescent="0.2">
      <c r="B13" t="s">
        <v>79</v>
      </c>
      <c r="C13" s="12">
        <v>139</v>
      </c>
      <c r="D13" s="8">
        <v>14.68</v>
      </c>
      <c r="E13" s="12">
        <v>50</v>
      </c>
      <c r="F13" s="8">
        <v>14.2</v>
      </c>
      <c r="G13" s="12">
        <v>89</v>
      </c>
      <c r="H13" s="8">
        <v>15.03</v>
      </c>
      <c r="I13" s="12">
        <v>0</v>
      </c>
    </row>
    <row r="14" spans="2:9" ht="15" customHeight="1" x14ac:dyDescent="0.2">
      <c r="B14" t="s">
        <v>80</v>
      </c>
      <c r="C14" s="12">
        <v>65</v>
      </c>
      <c r="D14" s="8">
        <v>6.86</v>
      </c>
      <c r="E14" s="12">
        <v>24</v>
      </c>
      <c r="F14" s="8">
        <v>6.82</v>
      </c>
      <c r="G14" s="12">
        <v>41</v>
      </c>
      <c r="H14" s="8">
        <v>6.93</v>
      </c>
      <c r="I14" s="12">
        <v>0</v>
      </c>
    </row>
    <row r="15" spans="2:9" ht="15" customHeight="1" x14ac:dyDescent="0.2">
      <c r="B15" t="s">
        <v>81</v>
      </c>
      <c r="C15" s="12">
        <v>67</v>
      </c>
      <c r="D15" s="8">
        <v>7.07</v>
      </c>
      <c r="E15" s="12">
        <v>41</v>
      </c>
      <c r="F15" s="8">
        <v>11.65</v>
      </c>
      <c r="G15" s="12">
        <v>25</v>
      </c>
      <c r="H15" s="8">
        <v>4.22</v>
      </c>
      <c r="I15" s="12">
        <v>1</v>
      </c>
    </row>
    <row r="16" spans="2:9" ht="15" customHeight="1" x14ac:dyDescent="0.2">
      <c r="B16" t="s">
        <v>82</v>
      </c>
      <c r="C16" s="12">
        <v>105</v>
      </c>
      <c r="D16" s="8">
        <v>11.09</v>
      </c>
      <c r="E16" s="12">
        <v>68</v>
      </c>
      <c r="F16" s="8">
        <v>19.32</v>
      </c>
      <c r="G16" s="12">
        <v>36</v>
      </c>
      <c r="H16" s="8">
        <v>6.08</v>
      </c>
      <c r="I16" s="12">
        <v>0</v>
      </c>
    </row>
    <row r="17" spans="2:9" ht="15" customHeight="1" x14ac:dyDescent="0.2">
      <c r="B17" t="s">
        <v>83</v>
      </c>
      <c r="C17" s="12">
        <v>69</v>
      </c>
      <c r="D17" s="8">
        <v>7.29</v>
      </c>
      <c r="E17" s="12">
        <v>46</v>
      </c>
      <c r="F17" s="8">
        <v>13.07</v>
      </c>
      <c r="G17" s="12">
        <v>23</v>
      </c>
      <c r="H17" s="8">
        <v>3.89</v>
      </c>
      <c r="I17" s="12">
        <v>0</v>
      </c>
    </row>
    <row r="18" spans="2:9" ht="15" customHeight="1" x14ac:dyDescent="0.2">
      <c r="B18" t="s">
        <v>84</v>
      </c>
      <c r="C18" s="12">
        <v>37</v>
      </c>
      <c r="D18" s="8">
        <v>3.91</v>
      </c>
      <c r="E18" s="12">
        <v>23</v>
      </c>
      <c r="F18" s="8">
        <v>6.53</v>
      </c>
      <c r="G18" s="12">
        <v>13</v>
      </c>
      <c r="H18" s="8">
        <v>2.2000000000000002</v>
      </c>
      <c r="I18" s="12">
        <v>0</v>
      </c>
    </row>
    <row r="19" spans="2:9" ht="15" customHeight="1" x14ac:dyDescent="0.2">
      <c r="B19" t="s">
        <v>85</v>
      </c>
      <c r="C19" s="12">
        <v>38</v>
      </c>
      <c r="D19" s="8">
        <v>4.01</v>
      </c>
      <c r="E19" s="12">
        <v>11</v>
      </c>
      <c r="F19" s="8">
        <v>3.13</v>
      </c>
      <c r="G19" s="12">
        <v>27</v>
      </c>
      <c r="H19" s="8">
        <v>4.5599999999999996</v>
      </c>
      <c r="I19" s="12">
        <v>0</v>
      </c>
    </row>
    <row r="20" spans="2:9" ht="15" customHeight="1" x14ac:dyDescent="0.2">
      <c r="B20" s="9" t="s">
        <v>277</v>
      </c>
      <c r="C20" s="12">
        <f>SUM(LTBL_23238[総数／事業所数])</f>
        <v>947</v>
      </c>
      <c r="E20" s="12">
        <f>SUBTOTAL(109,LTBL_23238[個人／事業所数])</f>
        <v>352</v>
      </c>
      <c r="G20" s="12">
        <f>SUBTOTAL(109,LTBL_23238[法人／事業所数])</f>
        <v>592</v>
      </c>
      <c r="I20" s="12">
        <f>SUBTOTAL(109,LTBL_23238[法人以外の団体／事業所数])</f>
        <v>1</v>
      </c>
    </row>
    <row r="21" spans="2:9" ht="15" customHeight="1" x14ac:dyDescent="0.2">
      <c r="E21" s="11">
        <f>LTBL_23238[[#Totals],[個人／事業所数]]/LTBL_23238[[#Totals],[総数／事業所数]]</f>
        <v>0.37170010559662092</v>
      </c>
      <c r="G21" s="11">
        <f>LTBL_23238[[#Totals],[法人／事業所数]]/LTBL_23238[[#Totals],[総数／事業所数]]</f>
        <v>0.62513199577613521</v>
      </c>
      <c r="I21" s="11">
        <f>LTBL_23238[[#Totals],[法人以外の団体／事業所数]]/LTBL_23238[[#Totals],[総数／事業所数]]</f>
        <v>1.0559662090813093E-3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111</v>
      </c>
      <c r="D24" s="8">
        <v>11.72</v>
      </c>
      <c r="E24" s="12">
        <v>45</v>
      </c>
      <c r="F24" s="8">
        <v>12.78</v>
      </c>
      <c r="G24" s="12">
        <v>66</v>
      </c>
      <c r="H24" s="8">
        <v>11.15</v>
      </c>
      <c r="I24" s="12">
        <v>0</v>
      </c>
    </row>
    <row r="25" spans="2:9" ht="15" customHeight="1" x14ac:dyDescent="0.2">
      <c r="B25" t="s">
        <v>111</v>
      </c>
      <c r="C25" s="12">
        <v>89</v>
      </c>
      <c r="D25" s="8">
        <v>9.4</v>
      </c>
      <c r="E25" s="12">
        <v>61</v>
      </c>
      <c r="F25" s="8">
        <v>17.329999999999998</v>
      </c>
      <c r="G25" s="12">
        <v>28</v>
      </c>
      <c r="H25" s="8">
        <v>4.7300000000000004</v>
      </c>
      <c r="I25" s="12">
        <v>0</v>
      </c>
    </row>
    <row r="26" spans="2:9" ht="15" customHeight="1" x14ac:dyDescent="0.2">
      <c r="B26" t="s">
        <v>94</v>
      </c>
      <c r="C26" s="12">
        <v>74</v>
      </c>
      <c r="D26" s="8">
        <v>7.81</v>
      </c>
      <c r="E26" s="12">
        <v>9</v>
      </c>
      <c r="F26" s="8">
        <v>2.56</v>
      </c>
      <c r="G26" s="12">
        <v>65</v>
      </c>
      <c r="H26" s="8">
        <v>10.98</v>
      </c>
      <c r="I26" s="12">
        <v>0</v>
      </c>
    </row>
    <row r="27" spans="2:9" ht="15" customHeight="1" x14ac:dyDescent="0.2">
      <c r="B27" t="s">
        <v>112</v>
      </c>
      <c r="C27" s="12">
        <v>69</v>
      </c>
      <c r="D27" s="8">
        <v>7.29</v>
      </c>
      <c r="E27" s="12">
        <v>46</v>
      </c>
      <c r="F27" s="8">
        <v>13.07</v>
      </c>
      <c r="G27" s="12">
        <v>23</v>
      </c>
      <c r="H27" s="8">
        <v>3.89</v>
      </c>
      <c r="I27" s="12">
        <v>0</v>
      </c>
    </row>
    <row r="28" spans="2:9" ht="15" customHeight="1" x14ac:dyDescent="0.2">
      <c r="B28" t="s">
        <v>110</v>
      </c>
      <c r="C28" s="12">
        <v>59</v>
      </c>
      <c r="D28" s="8">
        <v>6.23</v>
      </c>
      <c r="E28" s="12">
        <v>40</v>
      </c>
      <c r="F28" s="8">
        <v>11.36</v>
      </c>
      <c r="G28" s="12">
        <v>18</v>
      </c>
      <c r="H28" s="8">
        <v>3.04</v>
      </c>
      <c r="I28" s="12">
        <v>1</v>
      </c>
    </row>
    <row r="29" spans="2:9" ht="15" customHeight="1" x14ac:dyDescent="0.2">
      <c r="B29" t="s">
        <v>105</v>
      </c>
      <c r="C29" s="12">
        <v>57</v>
      </c>
      <c r="D29" s="8">
        <v>6.02</v>
      </c>
      <c r="E29" s="12">
        <v>15</v>
      </c>
      <c r="F29" s="8">
        <v>4.26</v>
      </c>
      <c r="G29" s="12">
        <v>42</v>
      </c>
      <c r="H29" s="8">
        <v>7.09</v>
      </c>
      <c r="I29" s="12">
        <v>0</v>
      </c>
    </row>
    <row r="30" spans="2:9" ht="15" customHeight="1" x14ac:dyDescent="0.2">
      <c r="B30" t="s">
        <v>95</v>
      </c>
      <c r="C30" s="12">
        <v>39</v>
      </c>
      <c r="D30" s="8">
        <v>4.12</v>
      </c>
      <c r="E30" s="12">
        <v>6</v>
      </c>
      <c r="F30" s="8">
        <v>1.7</v>
      </c>
      <c r="G30" s="12">
        <v>33</v>
      </c>
      <c r="H30" s="8">
        <v>5.57</v>
      </c>
      <c r="I30" s="12">
        <v>0</v>
      </c>
    </row>
    <row r="31" spans="2:9" ht="15" customHeight="1" x14ac:dyDescent="0.2">
      <c r="B31" t="s">
        <v>108</v>
      </c>
      <c r="C31" s="12">
        <v>34</v>
      </c>
      <c r="D31" s="8">
        <v>3.59</v>
      </c>
      <c r="E31" s="12">
        <v>18</v>
      </c>
      <c r="F31" s="8">
        <v>5.1100000000000003</v>
      </c>
      <c r="G31" s="12">
        <v>16</v>
      </c>
      <c r="H31" s="8">
        <v>2.7</v>
      </c>
      <c r="I31" s="12">
        <v>0</v>
      </c>
    </row>
    <row r="32" spans="2:9" ht="15" customHeight="1" x14ac:dyDescent="0.2">
      <c r="B32" t="s">
        <v>96</v>
      </c>
      <c r="C32" s="12">
        <v>33</v>
      </c>
      <c r="D32" s="8">
        <v>3.48</v>
      </c>
      <c r="E32" s="12">
        <v>5</v>
      </c>
      <c r="F32" s="8">
        <v>1.42</v>
      </c>
      <c r="G32" s="12">
        <v>28</v>
      </c>
      <c r="H32" s="8">
        <v>4.7300000000000004</v>
      </c>
      <c r="I32" s="12">
        <v>0</v>
      </c>
    </row>
    <row r="33" spans="2:9" ht="15" customHeight="1" x14ac:dyDescent="0.2">
      <c r="B33" t="s">
        <v>104</v>
      </c>
      <c r="C33" s="12">
        <v>32</v>
      </c>
      <c r="D33" s="8">
        <v>3.38</v>
      </c>
      <c r="E33" s="12">
        <v>15</v>
      </c>
      <c r="F33" s="8">
        <v>4.26</v>
      </c>
      <c r="G33" s="12">
        <v>17</v>
      </c>
      <c r="H33" s="8">
        <v>2.87</v>
      </c>
      <c r="I33" s="12">
        <v>0</v>
      </c>
    </row>
    <row r="34" spans="2:9" ht="15" customHeight="1" x14ac:dyDescent="0.2">
      <c r="B34" t="s">
        <v>102</v>
      </c>
      <c r="C34" s="12">
        <v>31</v>
      </c>
      <c r="D34" s="8">
        <v>3.27</v>
      </c>
      <c r="E34" s="12">
        <v>1</v>
      </c>
      <c r="F34" s="8">
        <v>0.28000000000000003</v>
      </c>
      <c r="G34" s="12">
        <v>30</v>
      </c>
      <c r="H34" s="8">
        <v>5.07</v>
      </c>
      <c r="I34" s="12">
        <v>0</v>
      </c>
    </row>
    <row r="35" spans="2:9" ht="15" customHeight="1" x14ac:dyDescent="0.2">
      <c r="B35" t="s">
        <v>100</v>
      </c>
      <c r="C35" s="12">
        <v>28</v>
      </c>
      <c r="D35" s="8">
        <v>2.96</v>
      </c>
      <c r="E35" s="12">
        <v>0</v>
      </c>
      <c r="F35" s="8">
        <v>0</v>
      </c>
      <c r="G35" s="12">
        <v>28</v>
      </c>
      <c r="H35" s="8">
        <v>4.7300000000000004</v>
      </c>
      <c r="I35" s="12">
        <v>0</v>
      </c>
    </row>
    <row r="36" spans="2:9" ht="15" customHeight="1" x14ac:dyDescent="0.2">
      <c r="B36" t="s">
        <v>113</v>
      </c>
      <c r="C36" s="12">
        <v>26</v>
      </c>
      <c r="D36" s="8">
        <v>2.75</v>
      </c>
      <c r="E36" s="12">
        <v>23</v>
      </c>
      <c r="F36" s="8">
        <v>6.53</v>
      </c>
      <c r="G36" s="12">
        <v>3</v>
      </c>
      <c r="H36" s="8">
        <v>0.51</v>
      </c>
      <c r="I36" s="12">
        <v>0</v>
      </c>
    </row>
    <row r="37" spans="2:9" ht="15" customHeight="1" x14ac:dyDescent="0.2">
      <c r="B37" t="s">
        <v>109</v>
      </c>
      <c r="C37" s="12">
        <v>24</v>
      </c>
      <c r="D37" s="8">
        <v>2.5299999999999998</v>
      </c>
      <c r="E37" s="12">
        <v>6</v>
      </c>
      <c r="F37" s="8">
        <v>1.7</v>
      </c>
      <c r="G37" s="12">
        <v>18</v>
      </c>
      <c r="H37" s="8">
        <v>3.04</v>
      </c>
      <c r="I37" s="12">
        <v>0</v>
      </c>
    </row>
    <row r="38" spans="2:9" ht="15" customHeight="1" x14ac:dyDescent="0.2">
      <c r="B38" t="s">
        <v>106</v>
      </c>
      <c r="C38" s="12">
        <v>21</v>
      </c>
      <c r="D38" s="8">
        <v>2.2200000000000002</v>
      </c>
      <c r="E38" s="12">
        <v>4</v>
      </c>
      <c r="F38" s="8">
        <v>1.1399999999999999</v>
      </c>
      <c r="G38" s="12">
        <v>17</v>
      </c>
      <c r="H38" s="8">
        <v>2.87</v>
      </c>
      <c r="I38" s="12">
        <v>0</v>
      </c>
    </row>
    <row r="39" spans="2:9" ht="15" customHeight="1" x14ac:dyDescent="0.2">
      <c r="B39" t="s">
        <v>103</v>
      </c>
      <c r="C39" s="12">
        <v>18</v>
      </c>
      <c r="D39" s="8">
        <v>1.9</v>
      </c>
      <c r="E39" s="12">
        <v>9</v>
      </c>
      <c r="F39" s="8">
        <v>2.56</v>
      </c>
      <c r="G39" s="12">
        <v>9</v>
      </c>
      <c r="H39" s="8">
        <v>1.52</v>
      </c>
      <c r="I39" s="12">
        <v>0</v>
      </c>
    </row>
    <row r="40" spans="2:9" ht="15" customHeight="1" x14ac:dyDescent="0.2">
      <c r="B40" t="s">
        <v>122</v>
      </c>
      <c r="C40" s="12">
        <v>15</v>
      </c>
      <c r="D40" s="8">
        <v>1.58</v>
      </c>
      <c r="E40" s="12">
        <v>9</v>
      </c>
      <c r="F40" s="8">
        <v>2.56</v>
      </c>
      <c r="G40" s="12">
        <v>6</v>
      </c>
      <c r="H40" s="8">
        <v>1.01</v>
      </c>
      <c r="I40" s="12">
        <v>0</v>
      </c>
    </row>
    <row r="41" spans="2:9" ht="15" customHeight="1" x14ac:dyDescent="0.2">
      <c r="B41" t="s">
        <v>99</v>
      </c>
      <c r="C41" s="12">
        <v>14</v>
      </c>
      <c r="D41" s="8">
        <v>1.48</v>
      </c>
      <c r="E41" s="12">
        <v>2</v>
      </c>
      <c r="F41" s="8">
        <v>0.56999999999999995</v>
      </c>
      <c r="G41" s="12">
        <v>12</v>
      </c>
      <c r="H41" s="8">
        <v>2.0299999999999998</v>
      </c>
      <c r="I41" s="12">
        <v>0</v>
      </c>
    </row>
    <row r="42" spans="2:9" ht="15" customHeight="1" x14ac:dyDescent="0.2">
      <c r="B42" t="s">
        <v>114</v>
      </c>
      <c r="C42" s="12">
        <v>13</v>
      </c>
      <c r="D42" s="8">
        <v>1.37</v>
      </c>
      <c r="E42" s="12">
        <v>0</v>
      </c>
      <c r="F42" s="8">
        <v>0</v>
      </c>
      <c r="G42" s="12">
        <v>13</v>
      </c>
      <c r="H42" s="8">
        <v>2.2000000000000002</v>
      </c>
      <c r="I42" s="12">
        <v>0</v>
      </c>
    </row>
    <row r="43" spans="2:9" ht="15" customHeight="1" x14ac:dyDescent="0.2">
      <c r="B43" t="s">
        <v>115</v>
      </c>
      <c r="C43" s="12">
        <v>12</v>
      </c>
      <c r="D43" s="8">
        <v>1.27</v>
      </c>
      <c r="E43" s="12">
        <v>4</v>
      </c>
      <c r="F43" s="8">
        <v>1.1399999999999999</v>
      </c>
      <c r="G43" s="12">
        <v>7</v>
      </c>
      <c r="H43" s="8">
        <v>1.18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77</v>
      </c>
      <c r="D47" s="8">
        <v>8.1300000000000008</v>
      </c>
      <c r="E47" s="12">
        <v>38</v>
      </c>
      <c r="F47" s="8">
        <v>10.8</v>
      </c>
      <c r="G47" s="12">
        <v>39</v>
      </c>
      <c r="H47" s="8">
        <v>6.59</v>
      </c>
      <c r="I47" s="12">
        <v>0</v>
      </c>
    </row>
    <row r="48" spans="2:9" ht="15" customHeight="1" x14ac:dyDescent="0.2">
      <c r="B48" t="s">
        <v>170</v>
      </c>
      <c r="C48" s="12">
        <v>48</v>
      </c>
      <c r="D48" s="8">
        <v>5.07</v>
      </c>
      <c r="E48" s="12">
        <v>40</v>
      </c>
      <c r="F48" s="8">
        <v>11.36</v>
      </c>
      <c r="G48" s="12">
        <v>8</v>
      </c>
      <c r="H48" s="8">
        <v>1.35</v>
      </c>
      <c r="I48" s="12">
        <v>0</v>
      </c>
    </row>
    <row r="49" spans="2:9" ht="15" customHeight="1" x14ac:dyDescent="0.2">
      <c r="B49" t="s">
        <v>168</v>
      </c>
      <c r="C49" s="12">
        <v>41</v>
      </c>
      <c r="D49" s="8">
        <v>4.33</v>
      </c>
      <c r="E49" s="12">
        <v>34</v>
      </c>
      <c r="F49" s="8">
        <v>9.66</v>
      </c>
      <c r="G49" s="12">
        <v>7</v>
      </c>
      <c r="H49" s="8">
        <v>1.18</v>
      </c>
      <c r="I49" s="12">
        <v>0</v>
      </c>
    </row>
    <row r="50" spans="2:9" ht="15" customHeight="1" x14ac:dyDescent="0.2">
      <c r="B50" t="s">
        <v>152</v>
      </c>
      <c r="C50" s="12">
        <v>24</v>
      </c>
      <c r="D50" s="8">
        <v>2.5299999999999998</v>
      </c>
      <c r="E50" s="12">
        <v>5</v>
      </c>
      <c r="F50" s="8">
        <v>1.42</v>
      </c>
      <c r="G50" s="12">
        <v>19</v>
      </c>
      <c r="H50" s="8">
        <v>3.21</v>
      </c>
      <c r="I50" s="12">
        <v>0</v>
      </c>
    </row>
    <row r="51" spans="2:9" ht="15" customHeight="1" x14ac:dyDescent="0.2">
      <c r="B51" t="s">
        <v>167</v>
      </c>
      <c r="C51" s="12">
        <v>24</v>
      </c>
      <c r="D51" s="8">
        <v>2.5299999999999998</v>
      </c>
      <c r="E51" s="12">
        <v>19</v>
      </c>
      <c r="F51" s="8">
        <v>5.4</v>
      </c>
      <c r="G51" s="12">
        <v>5</v>
      </c>
      <c r="H51" s="8">
        <v>0.84</v>
      </c>
      <c r="I51" s="12">
        <v>0</v>
      </c>
    </row>
    <row r="52" spans="2:9" ht="15" customHeight="1" x14ac:dyDescent="0.2">
      <c r="B52" t="s">
        <v>153</v>
      </c>
      <c r="C52" s="12">
        <v>23</v>
      </c>
      <c r="D52" s="8">
        <v>2.4300000000000002</v>
      </c>
      <c r="E52" s="12">
        <v>1</v>
      </c>
      <c r="F52" s="8">
        <v>0.28000000000000003</v>
      </c>
      <c r="G52" s="12">
        <v>22</v>
      </c>
      <c r="H52" s="8">
        <v>3.72</v>
      </c>
      <c r="I52" s="12">
        <v>0</v>
      </c>
    </row>
    <row r="53" spans="2:9" ht="15" customHeight="1" x14ac:dyDescent="0.2">
      <c r="B53" t="s">
        <v>156</v>
      </c>
      <c r="C53" s="12">
        <v>20</v>
      </c>
      <c r="D53" s="8">
        <v>2.11</v>
      </c>
      <c r="E53" s="12">
        <v>11</v>
      </c>
      <c r="F53" s="8">
        <v>3.13</v>
      </c>
      <c r="G53" s="12">
        <v>9</v>
      </c>
      <c r="H53" s="8">
        <v>1.52</v>
      </c>
      <c r="I53" s="12">
        <v>0</v>
      </c>
    </row>
    <row r="54" spans="2:9" ht="15" customHeight="1" x14ac:dyDescent="0.2">
      <c r="B54" t="s">
        <v>174</v>
      </c>
      <c r="C54" s="12">
        <v>20</v>
      </c>
      <c r="D54" s="8">
        <v>2.11</v>
      </c>
      <c r="E54" s="12">
        <v>0</v>
      </c>
      <c r="F54" s="8">
        <v>0</v>
      </c>
      <c r="G54" s="12">
        <v>20</v>
      </c>
      <c r="H54" s="8">
        <v>3.38</v>
      </c>
      <c r="I54" s="12">
        <v>0</v>
      </c>
    </row>
    <row r="55" spans="2:9" ht="15" customHeight="1" x14ac:dyDescent="0.2">
      <c r="B55" t="s">
        <v>165</v>
      </c>
      <c r="C55" s="12">
        <v>20</v>
      </c>
      <c r="D55" s="8">
        <v>2.11</v>
      </c>
      <c r="E55" s="12">
        <v>14</v>
      </c>
      <c r="F55" s="8">
        <v>3.98</v>
      </c>
      <c r="G55" s="12">
        <v>5</v>
      </c>
      <c r="H55" s="8">
        <v>0.84</v>
      </c>
      <c r="I55" s="12">
        <v>1</v>
      </c>
    </row>
    <row r="56" spans="2:9" ht="15" customHeight="1" x14ac:dyDescent="0.2">
      <c r="B56" t="s">
        <v>159</v>
      </c>
      <c r="C56" s="12">
        <v>18</v>
      </c>
      <c r="D56" s="8">
        <v>1.9</v>
      </c>
      <c r="E56" s="12">
        <v>4</v>
      </c>
      <c r="F56" s="8">
        <v>1.1399999999999999</v>
      </c>
      <c r="G56" s="12">
        <v>14</v>
      </c>
      <c r="H56" s="8">
        <v>2.36</v>
      </c>
      <c r="I56" s="12">
        <v>0</v>
      </c>
    </row>
    <row r="57" spans="2:9" ht="15" customHeight="1" x14ac:dyDescent="0.2">
      <c r="B57" t="s">
        <v>154</v>
      </c>
      <c r="C57" s="12">
        <v>17</v>
      </c>
      <c r="D57" s="8">
        <v>1.8</v>
      </c>
      <c r="E57" s="12">
        <v>1</v>
      </c>
      <c r="F57" s="8">
        <v>0.28000000000000003</v>
      </c>
      <c r="G57" s="12">
        <v>16</v>
      </c>
      <c r="H57" s="8">
        <v>2.7</v>
      </c>
      <c r="I57" s="12">
        <v>0</v>
      </c>
    </row>
    <row r="58" spans="2:9" ht="15" customHeight="1" x14ac:dyDescent="0.2">
      <c r="B58" t="s">
        <v>171</v>
      </c>
      <c r="C58" s="12">
        <v>17</v>
      </c>
      <c r="D58" s="8">
        <v>1.8</v>
      </c>
      <c r="E58" s="12">
        <v>16</v>
      </c>
      <c r="F58" s="8">
        <v>4.55</v>
      </c>
      <c r="G58" s="12">
        <v>1</v>
      </c>
      <c r="H58" s="8">
        <v>0.17</v>
      </c>
      <c r="I58" s="12">
        <v>0</v>
      </c>
    </row>
    <row r="59" spans="2:9" ht="15" customHeight="1" x14ac:dyDescent="0.2">
      <c r="B59" t="s">
        <v>205</v>
      </c>
      <c r="C59" s="12">
        <v>16</v>
      </c>
      <c r="D59" s="8">
        <v>1.69</v>
      </c>
      <c r="E59" s="12">
        <v>3</v>
      </c>
      <c r="F59" s="8">
        <v>0.85</v>
      </c>
      <c r="G59" s="12">
        <v>13</v>
      </c>
      <c r="H59" s="8">
        <v>2.2000000000000002</v>
      </c>
      <c r="I59" s="12">
        <v>0</v>
      </c>
    </row>
    <row r="60" spans="2:9" ht="15" customHeight="1" x14ac:dyDescent="0.2">
      <c r="B60" t="s">
        <v>158</v>
      </c>
      <c r="C60" s="12">
        <v>16</v>
      </c>
      <c r="D60" s="8">
        <v>1.69</v>
      </c>
      <c r="E60" s="12">
        <v>4</v>
      </c>
      <c r="F60" s="8">
        <v>1.1399999999999999</v>
      </c>
      <c r="G60" s="12">
        <v>12</v>
      </c>
      <c r="H60" s="8">
        <v>2.0299999999999998</v>
      </c>
      <c r="I60" s="12">
        <v>0</v>
      </c>
    </row>
    <row r="61" spans="2:9" ht="15" customHeight="1" x14ac:dyDescent="0.2">
      <c r="B61" t="s">
        <v>163</v>
      </c>
      <c r="C61" s="12">
        <v>16</v>
      </c>
      <c r="D61" s="8">
        <v>1.69</v>
      </c>
      <c r="E61" s="12">
        <v>10</v>
      </c>
      <c r="F61" s="8">
        <v>2.84</v>
      </c>
      <c r="G61" s="12">
        <v>6</v>
      </c>
      <c r="H61" s="8">
        <v>1.01</v>
      </c>
      <c r="I61" s="12">
        <v>0</v>
      </c>
    </row>
    <row r="62" spans="2:9" ht="15" customHeight="1" x14ac:dyDescent="0.2">
      <c r="B62" t="s">
        <v>169</v>
      </c>
      <c r="C62" s="12">
        <v>15</v>
      </c>
      <c r="D62" s="8">
        <v>1.58</v>
      </c>
      <c r="E62" s="12">
        <v>6</v>
      </c>
      <c r="F62" s="8">
        <v>1.7</v>
      </c>
      <c r="G62" s="12">
        <v>9</v>
      </c>
      <c r="H62" s="8">
        <v>1.52</v>
      </c>
      <c r="I62" s="12">
        <v>0</v>
      </c>
    </row>
    <row r="63" spans="2:9" ht="15" customHeight="1" x14ac:dyDescent="0.2">
      <c r="B63" t="s">
        <v>188</v>
      </c>
      <c r="C63" s="12">
        <v>15</v>
      </c>
      <c r="D63" s="8">
        <v>1.58</v>
      </c>
      <c r="E63" s="12">
        <v>9</v>
      </c>
      <c r="F63" s="8">
        <v>2.56</v>
      </c>
      <c r="G63" s="12">
        <v>6</v>
      </c>
      <c r="H63" s="8">
        <v>1.01</v>
      </c>
      <c r="I63" s="12">
        <v>0</v>
      </c>
    </row>
    <row r="64" spans="2:9" ht="15" customHeight="1" x14ac:dyDescent="0.2">
      <c r="B64" t="s">
        <v>191</v>
      </c>
      <c r="C64" s="12">
        <v>14</v>
      </c>
      <c r="D64" s="8">
        <v>1.48</v>
      </c>
      <c r="E64" s="12">
        <v>0</v>
      </c>
      <c r="F64" s="8">
        <v>0</v>
      </c>
      <c r="G64" s="12">
        <v>14</v>
      </c>
      <c r="H64" s="8">
        <v>2.36</v>
      </c>
      <c r="I64" s="12">
        <v>0</v>
      </c>
    </row>
    <row r="65" spans="2:9" ht="15" customHeight="1" x14ac:dyDescent="0.2">
      <c r="B65" t="s">
        <v>157</v>
      </c>
      <c r="C65" s="12">
        <v>13</v>
      </c>
      <c r="D65" s="8">
        <v>1.37</v>
      </c>
      <c r="E65" s="12">
        <v>3</v>
      </c>
      <c r="F65" s="8">
        <v>0.85</v>
      </c>
      <c r="G65" s="12">
        <v>10</v>
      </c>
      <c r="H65" s="8">
        <v>1.69</v>
      </c>
      <c r="I65" s="12">
        <v>0</v>
      </c>
    </row>
    <row r="66" spans="2:9" ht="15" customHeight="1" x14ac:dyDescent="0.2">
      <c r="B66" t="s">
        <v>200</v>
      </c>
      <c r="C66" s="12">
        <v>12</v>
      </c>
      <c r="D66" s="8">
        <v>1.27</v>
      </c>
      <c r="E66" s="12">
        <v>1</v>
      </c>
      <c r="F66" s="8">
        <v>0.28000000000000003</v>
      </c>
      <c r="G66" s="12">
        <v>11</v>
      </c>
      <c r="H66" s="8">
        <v>1.86</v>
      </c>
      <c r="I66" s="12">
        <v>0</v>
      </c>
    </row>
    <row r="67" spans="2:9" ht="15" customHeight="1" x14ac:dyDescent="0.2">
      <c r="B67" t="s">
        <v>160</v>
      </c>
      <c r="C67" s="12">
        <v>12</v>
      </c>
      <c r="D67" s="8">
        <v>1.27</v>
      </c>
      <c r="E67" s="12">
        <v>5</v>
      </c>
      <c r="F67" s="8">
        <v>1.42</v>
      </c>
      <c r="G67" s="12">
        <v>7</v>
      </c>
      <c r="H67" s="8">
        <v>1.18</v>
      </c>
      <c r="I67" s="12">
        <v>0</v>
      </c>
    </row>
    <row r="68" spans="2:9" ht="15" customHeight="1" x14ac:dyDescent="0.2">
      <c r="B68" t="s">
        <v>162</v>
      </c>
      <c r="C68" s="12">
        <v>12</v>
      </c>
      <c r="D68" s="8">
        <v>1.27</v>
      </c>
      <c r="E68" s="12">
        <v>3</v>
      </c>
      <c r="F68" s="8">
        <v>0.85</v>
      </c>
      <c r="G68" s="12">
        <v>9</v>
      </c>
      <c r="H68" s="8">
        <v>1.52</v>
      </c>
      <c r="I68" s="12">
        <v>0</v>
      </c>
    </row>
    <row r="69" spans="2:9" ht="15" customHeight="1" x14ac:dyDescent="0.2">
      <c r="B69" t="s">
        <v>166</v>
      </c>
      <c r="C69" s="12">
        <v>12</v>
      </c>
      <c r="D69" s="8">
        <v>1.27</v>
      </c>
      <c r="E69" s="12">
        <v>3</v>
      </c>
      <c r="F69" s="8">
        <v>0.85</v>
      </c>
      <c r="G69" s="12">
        <v>9</v>
      </c>
      <c r="H69" s="8">
        <v>1.52</v>
      </c>
      <c r="I69" s="12">
        <v>0</v>
      </c>
    </row>
    <row r="71" spans="2:9" ht="15" customHeight="1" x14ac:dyDescent="0.2">
      <c r="B71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6D2D-8645-4DA3-8EB1-108077361AC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3</v>
      </c>
      <c r="D5" s="8">
        <v>0</v>
      </c>
      <c r="E5" s="12">
        <v>0</v>
      </c>
      <c r="F5" s="8">
        <v>0</v>
      </c>
      <c r="G5" s="12">
        <v>3</v>
      </c>
      <c r="H5" s="8">
        <v>0.01</v>
      </c>
      <c r="I5" s="12">
        <v>0</v>
      </c>
    </row>
    <row r="6" spans="2:9" ht="15" customHeight="1" x14ac:dyDescent="0.2">
      <c r="B6" t="s">
        <v>72</v>
      </c>
      <c r="C6" s="12">
        <v>6499</v>
      </c>
      <c r="D6" s="8">
        <v>10.33</v>
      </c>
      <c r="E6" s="12">
        <v>718</v>
      </c>
      <c r="F6" s="8">
        <v>3.06</v>
      </c>
      <c r="G6" s="12">
        <v>5779</v>
      </c>
      <c r="H6" s="8">
        <v>14.71</v>
      </c>
      <c r="I6" s="12">
        <v>2</v>
      </c>
    </row>
    <row r="7" spans="2:9" ht="15" customHeight="1" x14ac:dyDescent="0.2">
      <c r="B7" t="s">
        <v>73</v>
      </c>
      <c r="C7" s="12">
        <v>6561</v>
      </c>
      <c r="D7" s="8">
        <v>10.43</v>
      </c>
      <c r="E7" s="12">
        <v>1499</v>
      </c>
      <c r="F7" s="8">
        <v>6.38</v>
      </c>
      <c r="G7" s="12">
        <v>5062</v>
      </c>
      <c r="H7" s="8">
        <v>12.89</v>
      </c>
      <c r="I7" s="12">
        <v>0</v>
      </c>
    </row>
    <row r="8" spans="2:9" ht="15" customHeight="1" x14ac:dyDescent="0.2">
      <c r="B8" t="s">
        <v>74</v>
      </c>
      <c r="C8" s="12">
        <v>58</v>
      </c>
      <c r="D8" s="8">
        <v>0.09</v>
      </c>
      <c r="E8" s="12">
        <v>0</v>
      </c>
      <c r="F8" s="8">
        <v>0</v>
      </c>
      <c r="G8" s="12">
        <v>58</v>
      </c>
      <c r="H8" s="8">
        <v>0.15</v>
      </c>
      <c r="I8" s="12">
        <v>0</v>
      </c>
    </row>
    <row r="9" spans="2:9" ht="15" customHeight="1" x14ac:dyDescent="0.2">
      <c r="B9" t="s">
        <v>75</v>
      </c>
      <c r="C9" s="12">
        <v>1111</v>
      </c>
      <c r="D9" s="8">
        <v>1.77</v>
      </c>
      <c r="E9" s="12">
        <v>50</v>
      </c>
      <c r="F9" s="8">
        <v>0.21</v>
      </c>
      <c r="G9" s="12">
        <v>1058</v>
      </c>
      <c r="H9" s="8">
        <v>2.69</v>
      </c>
      <c r="I9" s="12">
        <v>3</v>
      </c>
    </row>
    <row r="10" spans="2:9" ht="15" customHeight="1" x14ac:dyDescent="0.2">
      <c r="B10" t="s">
        <v>76</v>
      </c>
      <c r="C10" s="12">
        <v>597</v>
      </c>
      <c r="D10" s="8">
        <v>0.95</v>
      </c>
      <c r="E10" s="12">
        <v>82</v>
      </c>
      <c r="F10" s="8">
        <v>0.35</v>
      </c>
      <c r="G10" s="12">
        <v>514</v>
      </c>
      <c r="H10" s="8">
        <v>1.31</v>
      </c>
      <c r="I10" s="12">
        <v>1</v>
      </c>
    </row>
    <row r="11" spans="2:9" ht="15" customHeight="1" x14ac:dyDescent="0.2">
      <c r="B11" t="s">
        <v>77</v>
      </c>
      <c r="C11" s="12">
        <v>13528</v>
      </c>
      <c r="D11" s="8">
        <v>21.51</v>
      </c>
      <c r="E11" s="12">
        <v>3817</v>
      </c>
      <c r="F11" s="8">
        <v>16.239999999999998</v>
      </c>
      <c r="G11" s="12">
        <v>9705</v>
      </c>
      <c r="H11" s="8">
        <v>24.7</v>
      </c>
      <c r="I11" s="12">
        <v>6</v>
      </c>
    </row>
    <row r="12" spans="2:9" ht="15" customHeight="1" x14ac:dyDescent="0.2">
      <c r="B12" t="s">
        <v>78</v>
      </c>
      <c r="C12" s="12">
        <v>552</v>
      </c>
      <c r="D12" s="8">
        <v>0.88</v>
      </c>
      <c r="E12" s="12">
        <v>41</v>
      </c>
      <c r="F12" s="8">
        <v>0.17</v>
      </c>
      <c r="G12" s="12">
        <v>510</v>
      </c>
      <c r="H12" s="8">
        <v>1.3</v>
      </c>
      <c r="I12" s="12">
        <v>1</v>
      </c>
    </row>
    <row r="13" spans="2:9" ht="15" customHeight="1" x14ac:dyDescent="0.2">
      <c r="B13" t="s">
        <v>79</v>
      </c>
      <c r="C13" s="12">
        <v>7315</v>
      </c>
      <c r="D13" s="8">
        <v>11.63</v>
      </c>
      <c r="E13" s="12">
        <v>1193</v>
      </c>
      <c r="F13" s="8">
        <v>5.08</v>
      </c>
      <c r="G13" s="12">
        <v>6108</v>
      </c>
      <c r="H13" s="8">
        <v>15.55</v>
      </c>
      <c r="I13" s="12">
        <v>12</v>
      </c>
    </row>
    <row r="14" spans="2:9" ht="15" customHeight="1" x14ac:dyDescent="0.2">
      <c r="B14" t="s">
        <v>80</v>
      </c>
      <c r="C14" s="12">
        <v>5194</v>
      </c>
      <c r="D14" s="8">
        <v>8.26</v>
      </c>
      <c r="E14" s="12">
        <v>2506</v>
      </c>
      <c r="F14" s="8">
        <v>10.66</v>
      </c>
      <c r="G14" s="12">
        <v>2678</v>
      </c>
      <c r="H14" s="8">
        <v>6.82</v>
      </c>
      <c r="I14" s="12">
        <v>8</v>
      </c>
    </row>
    <row r="15" spans="2:9" ht="15" customHeight="1" x14ac:dyDescent="0.2">
      <c r="B15" t="s">
        <v>81</v>
      </c>
      <c r="C15" s="12">
        <v>7651</v>
      </c>
      <c r="D15" s="8">
        <v>12.17</v>
      </c>
      <c r="E15" s="12">
        <v>5827</v>
      </c>
      <c r="F15" s="8">
        <v>24.8</v>
      </c>
      <c r="G15" s="12">
        <v>1815</v>
      </c>
      <c r="H15" s="8">
        <v>4.62</v>
      </c>
      <c r="I15" s="12">
        <v>0</v>
      </c>
    </row>
    <row r="16" spans="2:9" ht="15" customHeight="1" x14ac:dyDescent="0.2">
      <c r="B16" t="s">
        <v>82</v>
      </c>
      <c r="C16" s="12">
        <v>6330</v>
      </c>
      <c r="D16" s="8">
        <v>10.07</v>
      </c>
      <c r="E16" s="12">
        <v>4053</v>
      </c>
      <c r="F16" s="8">
        <v>17.25</v>
      </c>
      <c r="G16" s="12">
        <v>2273</v>
      </c>
      <c r="H16" s="8">
        <v>5.79</v>
      </c>
      <c r="I16" s="12">
        <v>3</v>
      </c>
    </row>
    <row r="17" spans="2:9" ht="15" customHeight="1" x14ac:dyDescent="0.2">
      <c r="B17" t="s">
        <v>83</v>
      </c>
      <c r="C17" s="12">
        <v>2324</v>
      </c>
      <c r="D17" s="8">
        <v>3.7</v>
      </c>
      <c r="E17" s="12">
        <v>1433</v>
      </c>
      <c r="F17" s="8">
        <v>6.1</v>
      </c>
      <c r="G17" s="12">
        <v>873</v>
      </c>
      <c r="H17" s="8">
        <v>2.2200000000000002</v>
      </c>
      <c r="I17" s="12">
        <v>12</v>
      </c>
    </row>
    <row r="18" spans="2:9" ht="15" customHeight="1" x14ac:dyDescent="0.2">
      <c r="B18" t="s">
        <v>84</v>
      </c>
      <c r="C18" s="12">
        <v>2892</v>
      </c>
      <c r="D18" s="8">
        <v>4.5999999999999996</v>
      </c>
      <c r="E18" s="12">
        <v>1794</v>
      </c>
      <c r="F18" s="8">
        <v>7.63</v>
      </c>
      <c r="G18" s="12">
        <v>1091</v>
      </c>
      <c r="H18" s="8">
        <v>2.78</v>
      </c>
      <c r="I18" s="12">
        <v>7</v>
      </c>
    </row>
    <row r="19" spans="2:9" ht="15" customHeight="1" x14ac:dyDescent="0.2">
      <c r="B19" t="s">
        <v>85</v>
      </c>
      <c r="C19" s="12">
        <v>2269</v>
      </c>
      <c r="D19" s="8">
        <v>3.61</v>
      </c>
      <c r="E19" s="12">
        <v>486</v>
      </c>
      <c r="F19" s="8">
        <v>2.0699999999999998</v>
      </c>
      <c r="G19" s="12">
        <v>1757</v>
      </c>
      <c r="H19" s="8">
        <v>4.47</v>
      </c>
      <c r="I19" s="12">
        <v>19</v>
      </c>
    </row>
    <row r="20" spans="2:9" ht="15" customHeight="1" x14ac:dyDescent="0.2">
      <c r="B20" s="9" t="s">
        <v>277</v>
      </c>
      <c r="C20" s="12">
        <f>SUM(LTBL_23100[総数／事業所数])</f>
        <v>62884</v>
      </c>
      <c r="E20" s="12">
        <f>SUBTOTAL(109,LTBL_23100[個人／事業所数])</f>
        <v>23499</v>
      </c>
      <c r="G20" s="12">
        <f>SUBTOTAL(109,LTBL_23100[法人／事業所数])</f>
        <v>39284</v>
      </c>
      <c r="I20" s="12">
        <f>SUBTOTAL(109,LTBL_23100[法人以外の団体／事業所数])</f>
        <v>74</v>
      </c>
    </row>
    <row r="21" spans="2:9" ht="15" customHeight="1" x14ac:dyDescent="0.2">
      <c r="E21" s="11">
        <f>LTBL_23100[[#Totals],[個人／事業所数]]/LTBL_23100[[#Totals],[総数／事業所数]]</f>
        <v>0.37368806055594428</v>
      </c>
      <c r="G21" s="11">
        <f>LTBL_23100[[#Totals],[法人／事業所数]]/LTBL_23100[[#Totals],[総数／事業所数]]</f>
        <v>0.62470580751860572</v>
      </c>
      <c r="I21" s="11">
        <f>LTBL_23100[[#Totals],[法人以外の団体／事業所数]]/LTBL_23100[[#Totals],[総数／事業所数]]</f>
        <v>1.1767699255772533E-3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7135</v>
      </c>
      <c r="D24" s="8">
        <v>11.35</v>
      </c>
      <c r="E24" s="12">
        <v>5689</v>
      </c>
      <c r="F24" s="8">
        <v>24.21</v>
      </c>
      <c r="G24" s="12">
        <v>1446</v>
      </c>
      <c r="H24" s="8">
        <v>3.68</v>
      </c>
      <c r="I24" s="12">
        <v>0</v>
      </c>
    </row>
    <row r="25" spans="2:9" ht="15" customHeight="1" x14ac:dyDescent="0.2">
      <c r="B25" t="s">
        <v>107</v>
      </c>
      <c r="C25" s="12">
        <v>5810</v>
      </c>
      <c r="D25" s="8">
        <v>9.24</v>
      </c>
      <c r="E25" s="12">
        <v>1051</v>
      </c>
      <c r="F25" s="8">
        <v>4.47</v>
      </c>
      <c r="G25" s="12">
        <v>4745</v>
      </c>
      <c r="H25" s="8">
        <v>12.08</v>
      </c>
      <c r="I25" s="12">
        <v>12</v>
      </c>
    </row>
    <row r="26" spans="2:9" ht="15" customHeight="1" x14ac:dyDescent="0.2">
      <c r="B26" t="s">
        <v>111</v>
      </c>
      <c r="C26" s="12">
        <v>4875</v>
      </c>
      <c r="D26" s="8">
        <v>7.75</v>
      </c>
      <c r="E26" s="12">
        <v>3655</v>
      </c>
      <c r="F26" s="8">
        <v>15.55</v>
      </c>
      <c r="G26" s="12">
        <v>1220</v>
      </c>
      <c r="H26" s="8">
        <v>3.11</v>
      </c>
      <c r="I26" s="12">
        <v>0</v>
      </c>
    </row>
    <row r="27" spans="2:9" ht="15" customHeight="1" x14ac:dyDescent="0.2">
      <c r="B27" t="s">
        <v>108</v>
      </c>
      <c r="C27" s="12">
        <v>3486</v>
      </c>
      <c r="D27" s="8">
        <v>5.54</v>
      </c>
      <c r="E27" s="12">
        <v>2034</v>
      </c>
      <c r="F27" s="8">
        <v>8.66</v>
      </c>
      <c r="G27" s="12">
        <v>1446</v>
      </c>
      <c r="H27" s="8">
        <v>3.68</v>
      </c>
      <c r="I27" s="12">
        <v>6</v>
      </c>
    </row>
    <row r="28" spans="2:9" ht="15" customHeight="1" x14ac:dyDescent="0.2">
      <c r="B28" t="s">
        <v>105</v>
      </c>
      <c r="C28" s="12">
        <v>2996</v>
      </c>
      <c r="D28" s="8">
        <v>4.76</v>
      </c>
      <c r="E28" s="12">
        <v>1362</v>
      </c>
      <c r="F28" s="8">
        <v>5.8</v>
      </c>
      <c r="G28" s="12">
        <v>1633</v>
      </c>
      <c r="H28" s="8">
        <v>4.16</v>
      </c>
      <c r="I28" s="12">
        <v>1</v>
      </c>
    </row>
    <row r="29" spans="2:9" ht="15" customHeight="1" x14ac:dyDescent="0.2">
      <c r="B29" t="s">
        <v>112</v>
      </c>
      <c r="C29" s="12">
        <v>2324</v>
      </c>
      <c r="D29" s="8">
        <v>3.7</v>
      </c>
      <c r="E29" s="12">
        <v>1433</v>
      </c>
      <c r="F29" s="8">
        <v>6.1</v>
      </c>
      <c r="G29" s="12">
        <v>873</v>
      </c>
      <c r="H29" s="8">
        <v>2.2200000000000002</v>
      </c>
      <c r="I29" s="12">
        <v>12</v>
      </c>
    </row>
    <row r="30" spans="2:9" ht="15" customHeight="1" x14ac:dyDescent="0.2">
      <c r="B30" t="s">
        <v>96</v>
      </c>
      <c r="C30" s="12">
        <v>2220</v>
      </c>
      <c r="D30" s="8">
        <v>3.53</v>
      </c>
      <c r="E30" s="12">
        <v>220</v>
      </c>
      <c r="F30" s="8">
        <v>0.94</v>
      </c>
      <c r="G30" s="12">
        <v>2000</v>
      </c>
      <c r="H30" s="8">
        <v>5.09</v>
      </c>
      <c r="I30" s="12">
        <v>0</v>
      </c>
    </row>
    <row r="31" spans="2:9" ht="15" customHeight="1" x14ac:dyDescent="0.2">
      <c r="B31" t="s">
        <v>95</v>
      </c>
      <c r="C31" s="12">
        <v>2212</v>
      </c>
      <c r="D31" s="8">
        <v>3.52</v>
      </c>
      <c r="E31" s="12">
        <v>307</v>
      </c>
      <c r="F31" s="8">
        <v>1.31</v>
      </c>
      <c r="G31" s="12">
        <v>1903</v>
      </c>
      <c r="H31" s="8">
        <v>4.84</v>
      </c>
      <c r="I31" s="12">
        <v>2</v>
      </c>
    </row>
    <row r="32" spans="2:9" ht="15" customHeight="1" x14ac:dyDescent="0.2">
      <c r="B32" t="s">
        <v>113</v>
      </c>
      <c r="C32" s="12">
        <v>2151</v>
      </c>
      <c r="D32" s="8">
        <v>3.42</v>
      </c>
      <c r="E32" s="12">
        <v>1786</v>
      </c>
      <c r="F32" s="8">
        <v>7.6</v>
      </c>
      <c r="G32" s="12">
        <v>365</v>
      </c>
      <c r="H32" s="8">
        <v>0.93</v>
      </c>
      <c r="I32" s="12">
        <v>0</v>
      </c>
    </row>
    <row r="33" spans="2:9" ht="15" customHeight="1" x14ac:dyDescent="0.2">
      <c r="B33" t="s">
        <v>94</v>
      </c>
      <c r="C33" s="12">
        <v>2067</v>
      </c>
      <c r="D33" s="8">
        <v>3.29</v>
      </c>
      <c r="E33" s="12">
        <v>191</v>
      </c>
      <c r="F33" s="8">
        <v>0.81</v>
      </c>
      <c r="G33" s="12">
        <v>1876</v>
      </c>
      <c r="H33" s="8">
        <v>4.78</v>
      </c>
      <c r="I33" s="12">
        <v>0</v>
      </c>
    </row>
    <row r="34" spans="2:9" ht="15" customHeight="1" x14ac:dyDescent="0.2">
      <c r="B34" t="s">
        <v>100</v>
      </c>
      <c r="C34" s="12">
        <v>1731</v>
      </c>
      <c r="D34" s="8">
        <v>2.75</v>
      </c>
      <c r="E34" s="12">
        <v>112</v>
      </c>
      <c r="F34" s="8">
        <v>0.48</v>
      </c>
      <c r="G34" s="12">
        <v>1619</v>
      </c>
      <c r="H34" s="8">
        <v>4.12</v>
      </c>
      <c r="I34" s="12">
        <v>0</v>
      </c>
    </row>
    <row r="35" spans="2:9" ht="15" customHeight="1" x14ac:dyDescent="0.2">
      <c r="B35" t="s">
        <v>103</v>
      </c>
      <c r="C35" s="12">
        <v>1546</v>
      </c>
      <c r="D35" s="8">
        <v>2.46</v>
      </c>
      <c r="E35" s="12">
        <v>860</v>
      </c>
      <c r="F35" s="8">
        <v>3.66</v>
      </c>
      <c r="G35" s="12">
        <v>683</v>
      </c>
      <c r="H35" s="8">
        <v>1.74</v>
      </c>
      <c r="I35" s="12">
        <v>3</v>
      </c>
    </row>
    <row r="36" spans="2:9" ht="15" customHeight="1" x14ac:dyDescent="0.2">
      <c r="B36" t="s">
        <v>102</v>
      </c>
      <c r="C36" s="12">
        <v>1509</v>
      </c>
      <c r="D36" s="8">
        <v>2.4</v>
      </c>
      <c r="E36" s="12">
        <v>497</v>
      </c>
      <c r="F36" s="8">
        <v>2.11</v>
      </c>
      <c r="G36" s="12">
        <v>1012</v>
      </c>
      <c r="H36" s="8">
        <v>2.58</v>
      </c>
      <c r="I36" s="12">
        <v>0</v>
      </c>
    </row>
    <row r="37" spans="2:9" ht="15" customHeight="1" x14ac:dyDescent="0.2">
      <c r="B37" t="s">
        <v>109</v>
      </c>
      <c r="C37" s="12">
        <v>1414</v>
      </c>
      <c r="D37" s="8">
        <v>2.25</v>
      </c>
      <c r="E37" s="12">
        <v>460</v>
      </c>
      <c r="F37" s="8">
        <v>1.96</v>
      </c>
      <c r="G37" s="12">
        <v>951</v>
      </c>
      <c r="H37" s="8">
        <v>2.42</v>
      </c>
      <c r="I37" s="12">
        <v>1</v>
      </c>
    </row>
    <row r="38" spans="2:9" ht="15" customHeight="1" x14ac:dyDescent="0.2">
      <c r="B38" t="s">
        <v>101</v>
      </c>
      <c r="C38" s="12">
        <v>1402</v>
      </c>
      <c r="D38" s="8">
        <v>2.23</v>
      </c>
      <c r="E38" s="12">
        <v>165</v>
      </c>
      <c r="F38" s="8">
        <v>0.7</v>
      </c>
      <c r="G38" s="12">
        <v>1237</v>
      </c>
      <c r="H38" s="8">
        <v>3.15</v>
      </c>
      <c r="I38" s="12">
        <v>0</v>
      </c>
    </row>
    <row r="39" spans="2:9" ht="15" customHeight="1" x14ac:dyDescent="0.2">
      <c r="B39" t="s">
        <v>99</v>
      </c>
      <c r="C39" s="12">
        <v>1337</v>
      </c>
      <c r="D39" s="8">
        <v>2.13</v>
      </c>
      <c r="E39" s="12">
        <v>96</v>
      </c>
      <c r="F39" s="8">
        <v>0.41</v>
      </c>
      <c r="G39" s="12">
        <v>1241</v>
      </c>
      <c r="H39" s="8">
        <v>3.16</v>
      </c>
      <c r="I39" s="12">
        <v>0</v>
      </c>
    </row>
    <row r="40" spans="2:9" ht="15" customHeight="1" x14ac:dyDescent="0.2">
      <c r="B40" t="s">
        <v>104</v>
      </c>
      <c r="C40" s="12">
        <v>1272</v>
      </c>
      <c r="D40" s="8">
        <v>2.02</v>
      </c>
      <c r="E40" s="12">
        <v>520</v>
      </c>
      <c r="F40" s="8">
        <v>2.21</v>
      </c>
      <c r="G40" s="12">
        <v>752</v>
      </c>
      <c r="H40" s="8">
        <v>1.91</v>
      </c>
      <c r="I40" s="12">
        <v>0</v>
      </c>
    </row>
    <row r="41" spans="2:9" ht="15" customHeight="1" x14ac:dyDescent="0.2">
      <c r="B41" t="s">
        <v>106</v>
      </c>
      <c r="C41" s="12">
        <v>1189</v>
      </c>
      <c r="D41" s="8">
        <v>1.89</v>
      </c>
      <c r="E41" s="12">
        <v>124</v>
      </c>
      <c r="F41" s="8">
        <v>0.53</v>
      </c>
      <c r="G41" s="12">
        <v>1065</v>
      </c>
      <c r="H41" s="8">
        <v>2.71</v>
      </c>
      <c r="I41" s="12">
        <v>0</v>
      </c>
    </row>
    <row r="42" spans="2:9" ht="15" customHeight="1" x14ac:dyDescent="0.2">
      <c r="B42" t="s">
        <v>114</v>
      </c>
      <c r="C42" s="12">
        <v>1043</v>
      </c>
      <c r="D42" s="8">
        <v>1.66</v>
      </c>
      <c r="E42" s="12">
        <v>85</v>
      </c>
      <c r="F42" s="8">
        <v>0.36</v>
      </c>
      <c r="G42" s="12">
        <v>941</v>
      </c>
      <c r="H42" s="8">
        <v>2.4</v>
      </c>
      <c r="I42" s="12">
        <v>14</v>
      </c>
    </row>
    <row r="43" spans="2:9" ht="15" customHeight="1" x14ac:dyDescent="0.2">
      <c r="B43" t="s">
        <v>97</v>
      </c>
      <c r="C43" s="12">
        <v>1042</v>
      </c>
      <c r="D43" s="8">
        <v>1.66</v>
      </c>
      <c r="E43" s="12">
        <v>249</v>
      </c>
      <c r="F43" s="8">
        <v>1.06</v>
      </c>
      <c r="G43" s="12">
        <v>793</v>
      </c>
      <c r="H43" s="8">
        <v>2.02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3133</v>
      </c>
      <c r="D47" s="8">
        <v>4.9800000000000004</v>
      </c>
      <c r="E47" s="12">
        <v>762</v>
      </c>
      <c r="F47" s="8">
        <v>3.24</v>
      </c>
      <c r="G47" s="12">
        <v>2369</v>
      </c>
      <c r="H47" s="8">
        <v>6.03</v>
      </c>
      <c r="I47" s="12">
        <v>2</v>
      </c>
    </row>
    <row r="48" spans="2:9" ht="15" customHeight="1" x14ac:dyDescent="0.2">
      <c r="B48" t="s">
        <v>168</v>
      </c>
      <c r="C48" s="12">
        <v>2225</v>
      </c>
      <c r="D48" s="8">
        <v>3.54</v>
      </c>
      <c r="E48" s="12">
        <v>1780</v>
      </c>
      <c r="F48" s="8">
        <v>7.57</v>
      </c>
      <c r="G48" s="12">
        <v>445</v>
      </c>
      <c r="H48" s="8">
        <v>1.1299999999999999</v>
      </c>
      <c r="I48" s="12">
        <v>0</v>
      </c>
    </row>
    <row r="49" spans="2:9" ht="15" customHeight="1" x14ac:dyDescent="0.2">
      <c r="B49" t="s">
        <v>163</v>
      </c>
      <c r="C49" s="12">
        <v>1828</v>
      </c>
      <c r="D49" s="8">
        <v>2.91</v>
      </c>
      <c r="E49" s="12">
        <v>1275</v>
      </c>
      <c r="F49" s="8">
        <v>5.43</v>
      </c>
      <c r="G49" s="12">
        <v>553</v>
      </c>
      <c r="H49" s="8">
        <v>1.41</v>
      </c>
      <c r="I49" s="12">
        <v>0</v>
      </c>
    </row>
    <row r="50" spans="2:9" ht="15" customHeight="1" x14ac:dyDescent="0.2">
      <c r="B50" t="s">
        <v>165</v>
      </c>
      <c r="C50" s="12">
        <v>1705</v>
      </c>
      <c r="D50" s="8">
        <v>2.71</v>
      </c>
      <c r="E50" s="12">
        <v>1530</v>
      </c>
      <c r="F50" s="8">
        <v>6.51</v>
      </c>
      <c r="G50" s="12">
        <v>175</v>
      </c>
      <c r="H50" s="8">
        <v>0.45</v>
      </c>
      <c r="I50" s="12">
        <v>0</v>
      </c>
    </row>
    <row r="51" spans="2:9" ht="15" customHeight="1" x14ac:dyDescent="0.2">
      <c r="B51" t="s">
        <v>171</v>
      </c>
      <c r="C51" s="12">
        <v>1513</v>
      </c>
      <c r="D51" s="8">
        <v>2.41</v>
      </c>
      <c r="E51" s="12">
        <v>1248</v>
      </c>
      <c r="F51" s="8">
        <v>5.31</v>
      </c>
      <c r="G51" s="12">
        <v>265</v>
      </c>
      <c r="H51" s="8">
        <v>0.67</v>
      </c>
      <c r="I51" s="12">
        <v>0</v>
      </c>
    </row>
    <row r="52" spans="2:9" ht="15" customHeight="1" x14ac:dyDescent="0.2">
      <c r="B52" t="s">
        <v>170</v>
      </c>
      <c r="C52" s="12">
        <v>1498</v>
      </c>
      <c r="D52" s="8">
        <v>2.38</v>
      </c>
      <c r="E52" s="12">
        <v>1063</v>
      </c>
      <c r="F52" s="8">
        <v>4.5199999999999996</v>
      </c>
      <c r="G52" s="12">
        <v>431</v>
      </c>
      <c r="H52" s="8">
        <v>1.1000000000000001</v>
      </c>
      <c r="I52" s="12">
        <v>4</v>
      </c>
    </row>
    <row r="53" spans="2:9" ht="15" customHeight="1" x14ac:dyDescent="0.2">
      <c r="B53" t="s">
        <v>164</v>
      </c>
      <c r="C53" s="12">
        <v>1471</v>
      </c>
      <c r="D53" s="8">
        <v>2.34</v>
      </c>
      <c r="E53" s="12">
        <v>1232</v>
      </c>
      <c r="F53" s="8">
        <v>5.24</v>
      </c>
      <c r="G53" s="12">
        <v>239</v>
      </c>
      <c r="H53" s="8">
        <v>0.61</v>
      </c>
      <c r="I53" s="12">
        <v>0</v>
      </c>
    </row>
    <row r="54" spans="2:9" ht="15" customHeight="1" x14ac:dyDescent="0.2">
      <c r="B54" t="s">
        <v>160</v>
      </c>
      <c r="C54" s="12">
        <v>1332</v>
      </c>
      <c r="D54" s="8">
        <v>2.12</v>
      </c>
      <c r="E54" s="12">
        <v>131</v>
      </c>
      <c r="F54" s="8">
        <v>0.56000000000000005</v>
      </c>
      <c r="G54" s="12">
        <v>1198</v>
      </c>
      <c r="H54" s="8">
        <v>3.05</v>
      </c>
      <c r="I54" s="12">
        <v>3</v>
      </c>
    </row>
    <row r="55" spans="2:9" ht="15" customHeight="1" x14ac:dyDescent="0.2">
      <c r="B55" t="s">
        <v>167</v>
      </c>
      <c r="C55" s="12">
        <v>1213</v>
      </c>
      <c r="D55" s="8">
        <v>1.93</v>
      </c>
      <c r="E55" s="12">
        <v>1132</v>
      </c>
      <c r="F55" s="8">
        <v>4.82</v>
      </c>
      <c r="G55" s="12">
        <v>81</v>
      </c>
      <c r="H55" s="8">
        <v>0.21</v>
      </c>
      <c r="I55" s="12">
        <v>0</v>
      </c>
    </row>
    <row r="56" spans="2:9" ht="15" customHeight="1" x14ac:dyDescent="0.2">
      <c r="B56" t="s">
        <v>158</v>
      </c>
      <c r="C56" s="12">
        <v>1040</v>
      </c>
      <c r="D56" s="8">
        <v>1.65</v>
      </c>
      <c r="E56" s="12">
        <v>589</v>
      </c>
      <c r="F56" s="8">
        <v>2.5099999999999998</v>
      </c>
      <c r="G56" s="12">
        <v>450</v>
      </c>
      <c r="H56" s="8">
        <v>1.1499999999999999</v>
      </c>
      <c r="I56" s="12">
        <v>1</v>
      </c>
    </row>
    <row r="57" spans="2:9" ht="15" customHeight="1" x14ac:dyDescent="0.2">
      <c r="B57" t="s">
        <v>176</v>
      </c>
      <c r="C57" s="12">
        <v>1040</v>
      </c>
      <c r="D57" s="8">
        <v>1.65</v>
      </c>
      <c r="E57" s="12">
        <v>896</v>
      </c>
      <c r="F57" s="8">
        <v>3.81</v>
      </c>
      <c r="G57" s="12">
        <v>144</v>
      </c>
      <c r="H57" s="8">
        <v>0.37</v>
      </c>
      <c r="I57" s="12">
        <v>0</v>
      </c>
    </row>
    <row r="58" spans="2:9" ht="15" customHeight="1" x14ac:dyDescent="0.2">
      <c r="B58" t="s">
        <v>162</v>
      </c>
      <c r="C58" s="12">
        <v>923</v>
      </c>
      <c r="D58" s="8">
        <v>1.47</v>
      </c>
      <c r="E58" s="12">
        <v>295</v>
      </c>
      <c r="F58" s="8">
        <v>1.26</v>
      </c>
      <c r="G58" s="12">
        <v>626</v>
      </c>
      <c r="H58" s="8">
        <v>1.59</v>
      </c>
      <c r="I58" s="12">
        <v>0</v>
      </c>
    </row>
    <row r="59" spans="2:9" ht="15" customHeight="1" x14ac:dyDescent="0.2">
      <c r="B59" t="s">
        <v>174</v>
      </c>
      <c r="C59" s="12">
        <v>902</v>
      </c>
      <c r="D59" s="8">
        <v>1.43</v>
      </c>
      <c r="E59" s="12">
        <v>25</v>
      </c>
      <c r="F59" s="8">
        <v>0.11</v>
      </c>
      <c r="G59" s="12">
        <v>868</v>
      </c>
      <c r="H59" s="8">
        <v>2.21</v>
      </c>
      <c r="I59" s="12">
        <v>7</v>
      </c>
    </row>
    <row r="60" spans="2:9" ht="15" customHeight="1" x14ac:dyDescent="0.2">
      <c r="B60" t="s">
        <v>159</v>
      </c>
      <c r="C60" s="12">
        <v>901</v>
      </c>
      <c r="D60" s="8">
        <v>1.43</v>
      </c>
      <c r="E60" s="12">
        <v>110</v>
      </c>
      <c r="F60" s="8">
        <v>0.47</v>
      </c>
      <c r="G60" s="12">
        <v>791</v>
      </c>
      <c r="H60" s="8">
        <v>2.0099999999999998</v>
      </c>
      <c r="I60" s="12">
        <v>0</v>
      </c>
    </row>
    <row r="61" spans="2:9" ht="15" customHeight="1" x14ac:dyDescent="0.2">
      <c r="B61" t="s">
        <v>175</v>
      </c>
      <c r="C61" s="12">
        <v>896</v>
      </c>
      <c r="D61" s="8">
        <v>1.42</v>
      </c>
      <c r="E61" s="12">
        <v>817</v>
      </c>
      <c r="F61" s="8">
        <v>3.48</v>
      </c>
      <c r="G61" s="12">
        <v>79</v>
      </c>
      <c r="H61" s="8">
        <v>0.2</v>
      </c>
      <c r="I61" s="12">
        <v>0</v>
      </c>
    </row>
    <row r="62" spans="2:9" ht="15" customHeight="1" x14ac:dyDescent="0.2">
      <c r="B62" t="s">
        <v>154</v>
      </c>
      <c r="C62" s="12">
        <v>835</v>
      </c>
      <c r="D62" s="8">
        <v>1.33</v>
      </c>
      <c r="E62" s="12">
        <v>112</v>
      </c>
      <c r="F62" s="8">
        <v>0.48</v>
      </c>
      <c r="G62" s="12">
        <v>723</v>
      </c>
      <c r="H62" s="8">
        <v>1.84</v>
      </c>
      <c r="I62" s="12">
        <v>0</v>
      </c>
    </row>
    <row r="63" spans="2:9" ht="15" customHeight="1" x14ac:dyDescent="0.2">
      <c r="B63" t="s">
        <v>155</v>
      </c>
      <c r="C63" s="12">
        <v>821</v>
      </c>
      <c r="D63" s="8">
        <v>1.31</v>
      </c>
      <c r="E63" s="12">
        <v>89</v>
      </c>
      <c r="F63" s="8">
        <v>0.38</v>
      </c>
      <c r="G63" s="12">
        <v>732</v>
      </c>
      <c r="H63" s="8">
        <v>1.86</v>
      </c>
      <c r="I63" s="12">
        <v>0</v>
      </c>
    </row>
    <row r="64" spans="2:9" ht="15" customHeight="1" x14ac:dyDescent="0.2">
      <c r="B64" t="s">
        <v>173</v>
      </c>
      <c r="C64" s="12">
        <v>812</v>
      </c>
      <c r="D64" s="8">
        <v>1.29</v>
      </c>
      <c r="E64" s="12">
        <v>89</v>
      </c>
      <c r="F64" s="8">
        <v>0.38</v>
      </c>
      <c r="G64" s="12">
        <v>723</v>
      </c>
      <c r="H64" s="8">
        <v>1.84</v>
      </c>
      <c r="I64" s="12">
        <v>0</v>
      </c>
    </row>
    <row r="65" spans="2:9" ht="15" customHeight="1" x14ac:dyDescent="0.2">
      <c r="B65" t="s">
        <v>166</v>
      </c>
      <c r="C65" s="12">
        <v>763</v>
      </c>
      <c r="D65" s="8">
        <v>1.21</v>
      </c>
      <c r="E65" s="12">
        <v>362</v>
      </c>
      <c r="F65" s="8">
        <v>1.54</v>
      </c>
      <c r="G65" s="12">
        <v>401</v>
      </c>
      <c r="H65" s="8">
        <v>1.02</v>
      </c>
      <c r="I65" s="12">
        <v>0</v>
      </c>
    </row>
    <row r="66" spans="2:9" ht="15" customHeight="1" x14ac:dyDescent="0.2">
      <c r="B66" t="s">
        <v>172</v>
      </c>
      <c r="C66" s="12">
        <v>739</v>
      </c>
      <c r="D66" s="8">
        <v>1.18</v>
      </c>
      <c r="E66" s="12">
        <v>57</v>
      </c>
      <c r="F66" s="8">
        <v>0.24</v>
      </c>
      <c r="G66" s="12">
        <v>682</v>
      </c>
      <c r="H66" s="8">
        <v>1.74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9196-9A6A-446A-BBD8-562A19D896E2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131</v>
      </c>
      <c r="D6" s="8">
        <v>17.37</v>
      </c>
      <c r="E6" s="12">
        <v>28</v>
      </c>
      <c r="F6" s="8">
        <v>8.7200000000000006</v>
      </c>
      <c r="G6" s="12">
        <v>103</v>
      </c>
      <c r="H6" s="8">
        <v>23.84</v>
      </c>
      <c r="I6" s="12">
        <v>0</v>
      </c>
    </row>
    <row r="7" spans="2:9" ht="15" customHeight="1" x14ac:dyDescent="0.2">
      <c r="B7" t="s">
        <v>73</v>
      </c>
      <c r="C7" s="12">
        <v>106</v>
      </c>
      <c r="D7" s="8">
        <v>14.06</v>
      </c>
      <c r="E7" s="12">
        <v>25</v>
      </c>
      <c r="F7" s="8">
        <v>7.79</v>
      </c>
      <c r="G7" s="12">
        <v>81</v>
      </c>
      <c r="H7" s="8">
        <v>18.75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0.23</v>
      </c>
      <c r="I8" s="12">
        <v>0</v>
      </c>
    </row>
    <row r="9" spans="2:9" ht="15" customHeight="1" x14ac:dyDescent="0.2">
      <c r="B9" t="s">
        <v>75</v>
      </c>
      <c r="C9" s="12">
        <v>7</v>
      </c>
      <c r="D9" s="8">
        <v>0.93</v>
      </c>
      <c r="E9" s="12">
        <v>1</v>
      </c>
      <c r="F9" s="8">
        <v>0.31</v>
      </c>
      <c r="G9" s="12">
        <v>6</v>
      </c>
      <c r="H9" s="8">
        <v>1.39</v>
      </c>
      <c r="I9" s="12">
        <v>0</v>
      </c>
    </row>
    <row r="10" spans="2:9" ht="15" customHeight="1" x14ac:dyDescent="0.2">
      <c r="B10" t="s">
        <v>76</v>
      </c>
      <c r="C10" s="12">
        <v>4</v>
      </c>
      <c r="D10" s="8">
        <v>0.53</v>
      </c>
      <c r="E10" s="12">
        <v>0</v>
      </c>
      <c r="F10" s="8">
        <v>0</v>
      </c>
      <c r="G10" s="12">
        <v>4</v>
      </c>
      <c r="H10" s="8">
        <v>0.93</v>
      </c>
      <c r="I10" s="12">
        <v>0</v>
      </c>
    </row>
    <row r="11" spans="2:9" ht="15" customHeight="1" x14ac:dyDescent="0.2">
      <c r="B11" t="s">
        <v>77</v>
      </c>
      <c r="C11" s="12">
        <v>171</v>
      </c>
      <c r="D11" s="8">
        <v>22.68</v>
      </c>
      <c r="E11" s="12">
        <v>65</v>
      </c>
      <c r="F11" s="8">
        <v>20.25</v>
      </c>
      <c r="G11" s="12">
        <v>106</v>
      </c>
      <c r="H11" s="8">
        <v>24.54</v>
      </c>
      <c r="I11" s="12">
        <v>0</v>
      </c>
    </row>
    <row r="12" spans="2:9" ht="15" customHeight="1" x14ac:dyDescent="0.2">
      <c r="B12" t="s">
        <v>78</v>
      </c>
      <c r="C12" s="12">
        <v>5</v>
      </c>
      <c r="D12" s="8">
        <v>0.66</v>
      </c>
      <c r="E12" s="12">
        <v>1</v>
      </c>
      <c r="F12" s="8">
        <v>0.31</v>
      </c>
      <c r="G12" s="12">
        <v>4</v>
      </c>
      <c r="H12" s="8">
        <v>0.93</v>
      </c>
      <c r="I12" s="12">
        <v>0</v>
      </c>
    </row>
    <row r="13" spans="2:9" ht="15" customHeight="1" x14ac:dyDescent="0.2">
      <c r="B13" t="s">
        <v>79</v>
      </c>
      <c r="C13" s="12">
        <v>37</v>
      </c>
      <c r="D13" s="8">
        <v>4.91</v>
      </c>
      <c r="E13" s="12">
        <v>3</v>
      </c>
      <c r="F13" s="8">
        <v>0.93</v>
      </c>
      <c r="G13" s="12">
        <v>34</v>
      </c>
      <c r="H13" s="8">
        <v>7.87</v>
      </c>
      <c r="I13" s="12">
        <v>0</v>
      </c>
    </row>
    <row r="14" spans="2:9" ht="15" customHeight="1" x14ac:dyDescent="0.2">
      <c r="B14" t="s">
        <v>80</v>
      </c>
      <c r="C14" s="12">
        <v>37</v>
      </c>
      <c r="D14" s="8">
        <v>4.91</v>
      </c>
      <c r="E14" s="12">
        <v>23</v>
      </c>
      <c r="F14" s="8">
        <v>7.17</v>
      </c>
      <c r="G14" s="12">
        <v>14</v>
      </c>
      <c r="H14" s="8">
        <v>3.24</v>
      </c>
      <c r="I14" s="12">
        <v>0</v>
      </c>
    </row>
    <row r="15" spans="2:9" ht="15" customHeight="1" x14ac:dyDescent="0.2">
      <c r="B15" t="s">
        <v>81</v>
      </c>
      <c r="C15" s="12">
        <v>61</v>
      </c>
      <c r="D15" s="8">
        <v>8.09</v>
      </c>
      <c r="E15" s="12">
        <v>41</v>
      </c>
      <c r="F15" s="8">
        <v>12.77</v>
      </c>
      <c r="G15" s="12">
        <v>20</v>
      </c>
      <c r="H15" s="8">
        <v>4.63</v>
      </c>
      <c r="I15" s="12">
        <v>0</v>
      </c>
    </row>
    <row r="16" spans="2:9" ht="15" customHeight="1" x14ac:dyDescent="0.2">
      <c r="B16" t="s">
        <v>82</v>
      </c>
      <c r="C16" s="12">
        <v>73</v>
      </c>
      <c r="D16" s="8">
        <v>9.68</v>
      </c>
      <c r="E16" s="12">
        <v>62</v>
      </c>
      <c r="F16" s="8">
        <v>19.309999999999999</v>
      </c>
      <c r="G16" s="12">
        <v>11</v>
      </c>
      <c r="H16" s="8">
        <v>2.5499999999999998</v>
      </c>
      <c r="I16" s="12">
        <v>0</v>
      </c>
    </row>
    <row r="17" spans="2:9" ht="15" customHeight="1" x14ac:dyDescent="0.2">
      <c r="B17" t="s">
        <v>83</v>
      </c>
      <c r="C17" s="12">
        <v>45</v>
      </c>
      <c r="D17" s="8">
        <v>5.97</v>
      </c>
      <c r="E17" s="12">
        <v>31</v>
      </c>
      <c r="F17" s="8">
        <v>9.66</v>
      </c>
      <c r="G17" s="12">
        <v>14</v>
      </c>
      <c r="H17" s="8">
        <v>3.24</v>
      </c>
      <c r="I17" s="12">
        <v>0</v>
      </c>
    </row>
    <row r="18" spans="2:9" ht="15" customHeight="1" x14ac:dyDescent="0.2">
      <c r="B18" t="s">
        <v>84</v>
      </c>
      <c r="C18" s="12">
        <v>35</v>
      </c>
      <c r="D18" s="8">
        <v>4.6399999999999997</v>
      </c>
      <c r="E18" s="12">
        <v>27</v>
      </c>
      <c r="F18" s="8">
        <v>8.41</v>
      </c>
      <c r="G18" s="12">
        <v>8</v>
      </c>
      <c r="H18" s="8">
        <v>1.85</v>
      </c>
      <c r="I18" s="12">
        <v>0</v>
      </c>
    </row>
    <row r="19" spans="2:9" ht="15" customHeight="1" x14ac:dyDescent="0.2">
      <c r="B19" t="s">
        <v>85</v>
      </c>
      <c r="C19" s="12">
        <v>41</v>
      </c>
      <c r="D19" s="8">
        <v>5.44</v>
      </c>
      <c r="E19" s="12">
        <v>14</v>
      </c>
      <c r="F19" s="8">
        <v>4.3600000000000003</v>
      </c>
      <c r="G19" s="12">
        <v>26</v>
      </c>
      <c r="H19" s="8">
        <v>6.02</v>
      </c>
      <c r="I19" s="12">
        <v>0</v>
      </c>
    </row>
    <row r="20" spans="2:9" ht="15" customHeight="1" x14ac:dyDescent="0.2">
      <c r="B20" s="9" t="s">
        <v>277</v>
      </c>
      <c r="C20" s="12">
        <f>SUM(LTBL_23302[総数／事業所数])</f>
        <v>754</v>
      </c>
      <c r="E20" s="12">
        <f>SUBTOTAL(109,LTBL_23302[個人／事業所数])</f>
        <v>321</v>
      </c>
      <c r="G20" s="12">
        <f>SUBTOTAL(109,LTBL_23302[法人／事業所数])</f>
        <v>432</v>
      </c>
      <c r="I20" s="12">
        <f>SUBTOTAL(109,LTBL_23302[法人以外の団体／事業所数])</f>
        <v>0</v>
      </c>
    </row>
    <row r="21" spans="2:9" ht="15" customHeight="1" x14ac:dyDescent="0.2">
      <c r="E21" s="11">
        <f>LTBL_23302[[#Totals],[個人／事業所数]]/LTBL_23302[[#Totals],[総数／事業所数]]</f>
        <v>0.42572944297082227</v>
      </c>
      <c r="G21" s="11">
        <f>LTBL_23302[[#Totals],[法人／事業所数]]/LTBL_23302[[#Totals],[総数／事業所数]]</f>
        <v>0.57294429708222816</v>
      </c>
      <c r="I21" s="11">
        <f>LTBL_23302[[#Totals],[法人以外の団体／事業所数]]/LTBL_23302[[#Totals],[総数／事業所数]]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64</v>
      </c>
      <c r="D24" s="8">
        <v>8.49</v>
      </c>
      <c r="E24" s="12">
        <v>57</v>
      </c>
      <c r="F24" s="8">
        <v>17.760000000000002</v>
      </c>
      <c r="G24" s="12">
        <v>7</v>
      </c>
      <c r="H24" s="8">
        <v>1.62</v>
      </c>
      <c r="I24" s="12">
        <v>0</v>
      </c>
    </row>
    <row r="25" spans="2:9" ht="15" customHeight="1" x14ac:dyDescent="0.2">
      <c r="B25" t="s">
        <v>105</v>
      </c>
      <c r="C25" s="12">
        <v>51</v>
      </c>
      <c r="D25" s="8">
        <v>6.76</v>
      </c>
      <c r="E25" s="12">
        <v>22</v>
      </c>
      <c r="F25" s="8">
        <v>6.85</v>
      </c>
      <c r="G25" s="12">
        <v>29</v>
      </c>
      <c r="H25" s="8">
        <v>6.71</v>
      </c>
      <c r="I25" s="12">
        <v>0</v>
      </c>
    </row>
    <row r="26" spans="2:9" ht="15" customHeight="1" x14ac:dyDescent="0.2">
      <c r="B26" t="s">
        <v>95</v>
      </c>
      <c r="C26" s="12">
        <v>50</v>
      </c>
      <c r="D26" s="8">
        <v>6.63</v>
      </c>
      <c r="E26" s="12">
        <v>15</v>
      </c>
      <c r="F26" s="8">
        <v>4.67</v>
      </c>
      <c r="G26" s="12">
        <v>35</v>
      </c>
      <c r="H26" s="8">
        <v>8.1</v>
      </c>
      <c r="I26" s="12">
        <v>0</v>
      </c>
    </row>
    <row r="27" spans="2:9" ht="15" customHeight="1" x14ac:dyDescent="0.2">
      <c r="B27" t="s">
        <v>110</v>
      </c>
      <c r="C27" s="12">
        <v>49</v>
      </c>
      <c r="D27" s="8">
        <v>6.5</v>
      </c>
      <c r="E27" s="12">
        <v>39</v>
      </c>
      <c r="F27" s="8">
        <v>12.15</v>
      </c>
      <c r="G27" s="12">
        <v>10</v>
      </c>
      <c r="H27" s="8">
        <v>2.31</v>
      </c>
      <c r="I27" s="12">
        <v>0</v>
      </c>
    </row>
    <row r="28" spans="2:9" ht="15" customHeight="1" x14ac:dyDescent="0.2">
      <c r="B28" t="s">
        <v>94</v>
      </c>
      <c r="C28" s="12">
        <v>47</v>
      </c>
      <c r="D28" s="8">
        <v>6.23</v>
      </c>
      <c r="E28" s="12">
        <v>7</v>
      </c>
      <c r="F28" s="8">
        <v>2.1800000000000002</v>
      </c>
      <c r="G28" s="12">
        <v>40</v>
      </c>
      <c r="H28" s="8">
        <v>9.26</v>
      </c>
      <c r="I28" s="12">
        <v>0</v>
      </c>
    </row>
    <row r="29" spans="2:9" ht="15" customHeight="1" x14ac:dyDescent="0.2">
      <c r="B29" t="s">
        <v>112</v>
      </c>
      <c r="C29" s="12">
        <v>45</v>
      </c>
      <c r="D29" s="8">
        <v>5.97</v>
      </c>
      <c r="E29" s="12">
        <v>31</v>
      </c>
      <c r="F29" s="8">
        <v>9.66</v>
      </c>
      <c r="G29" s="12">
        <v>14</v>
      </c>
      <c r="H29" s="8">
        <v>3.24</v>
      </c>
      <c r="I29" s="12">
        <v>0</v>
      </c>
    </row>
    <row r="30" spans="2:9" ht="15" customHeight="1" x14ac:dyDescent="0.2">
      <c r="B30" t="s">
        <v>96</v>
      </c>
      <c r="C30" s="12">
        <v>34</v>
      </c>
      <c r="D30" s="8">
        <v>4.51</v>
      </c>
      <c r="E30" s="12">
        <v>6</v>
      </c>
      <c r="F30" s="8">
        <v>1.87</v>
      </c>
      <c r="G30" s="12">
        <v>28</v>
      </c>
      <c r="H30" s="8">
        <v>6.48</v>
      </c>
      <c r="I30" s="12">
        <v>0</v>
      </c>
    </row>
    <row r="31" spans="2:9" ht="15" customHeight="1" x14ac:dyDescent="0.2">
      <c r="B31" t="s">
        <v>104</v>
      </c>
      <c r="C31" s="12">
        <v>30</v>
      </c>
      <c r="D31" s="8">
        <v>3.98</v>
      </c>
      <c r="E31" s="12">
        <v>16</v>
      </c>
      <c r="F31" s="8">
        <v>4.9800000000000004</v>
      </c>
      <c r="G31" s="12">
        <v>14</v>
      </c>
      <c r="H31" s="8">
        <v>3.24</v>
      </c>
      <c r="I31" s="12">
        <v>0</v>
      </c>
    </row>
    <row r="32" spans="2:9" ht="15" customHeight="1" x14ac:dyDescent="0.2">
      <c r="B32" t="s">
        <v>102</v>
      </c>
      <c r="C32" s="12">
        <v>29</v>
      </c>
      <c r="D32" s="8">
        <v>3.85</v>
      </c>
      <c r="E32" s="12">
        <v>4</v>
      </c>
      <c r="F32" s="8">
        <v>1.25</v>
      </c>
      <c r="G32" s="12">
        <v>25</v>
      </c>
      <c r="H32" s="8">
        <v>5.79</v>
      </c>
      <c r="I32" s="12">
        <v>0</v>
      </c>
    </row>
    <row r="33" spans="2:9" ht="15" customHeight="1" x14ac:dyDescent="0.2">
      <c r="B33" t="s">
        <v>113</v>
      </c>
      <c r="C33" s="12">
        <v>28</v>
      </c>
      <c r="D33" s="8">
        <v>3.71</v>
      </c>
      <c r="E33" s="12">
        <v>27</v>
      </c>
      <c r="F33" s="8">
        <v>8.41</v>
      </c>
      <c r="G33" s="12">
        <v>1</v>
      </c>
      <c r="H33" s="8">
        <v>0.23</v>
      </c>
      <c r="I33" s="12">
        <v>0</v>
      </c>
    </row>
    <row r="34" spans="2:9" ht="15" customHeight="1" x14ac:dyDescent="0.2">
      <c r="B34" t="s">
        <v>107</v>
      </c>
      <c r="C34" s="12">
        <v>25</v>
      </c>
      <c r="D34" s="8">
        <v>3.32</v>
      </c>
      <c r="E34" s="12">
        <v>2</v>
      </c>
      <c r="F34" s="8">
        <v>0.62</v>
      </c>
      <c r="G34" s="12">
        <v>23</v>
      </c>
      <c r="H34" s="8">
        <v>5.32</v>
      </c>
      <c r="I34" s="12">
        <v>0</v>
      </c>
    </row>
    <row r="35" spans="2:9" ht="15" customHeight="1" x14ac:dyDescent="0.2">
      <c r="B35" t="s">
        <v>108</v>
      </c>
      <c r="C35" s="12">
        <v>23</v>
      </c>
      <c r="D35" s="8">
        <v>3.05</v>
      </c>
      <c r="E35" s="12">
        <v>13</v>
      </c>
      <c r="F35" s="8">
        <v>4.05</v>
      </c>
      <c r="G35" s="12">
        <v>10</v>
      </c>
      <c r="H35" s="8">
        <v>2.31</v>
      </c>
      <c r="I35" s="12">
        <v>0</v>
      </c>
    </row>
    <row r="36" spans="2:9" ht="15" customHeight="1" x14ac:dyDescent="0.2">
      <c r="B36" t="s">
        <v>98</v>
      </c>
      <c r="C36" s="12">
        <v>21</v>
      </c>
      <c r="D36" s="8">
        <v>2.79</v>
      </c>
      <c r="E36" s="12">
        <v>4</v>
      </c>
      <c r="F36" s="8">
        <v>1.25</v>
      </c>
      <c r="G36" s="12">
        <v>17</v>
      </c>
      <c r="H36" s="8">
        <v>3.94</v>
      </c>
      <c r="I36" s="12">
        <v>0</v>
      </c>
    </row>
    <row r="37" spans="2:9" ht="15" customHeight="1" x14ac:dyDescent="0.2">
      <c r="B37" t="s">
        <v>97</v>
      </c>
      <c r="C37" s="12">
        <v>18</v>
      </c>
      <c r="D37" s="8">
        <v>2.39</v>
      </c>
      <c r="E37" s="12">
        <v>4</v>
      </c>
      <c r="F37" s="8">
        <v>1.25</v>
      </c>
      <c r="G37" s="12">
        <v>14</v>
      </c>
      <c r="H37" s="8">
        <v>3.24</v>
      </c>
      <c r="I37" s="12">
        <v>0</v>
      </c>
    </row>
    <row r="38" spans="2:9" ht="15" customHeight="1" x14ac:dyDescent="0.2">
      <c r="B38" t="s">
        <v>100</v>
      </c>
      <c r="C38" s="12">
        <v>18</v>
      </c>
      <c r="D38" s="8">
        <v>2.39</v>
      </c>
      <c r="E38" s="12">
        <v>4</v>
      </c>
      <c r="F38" s="8">
        <v>1.25</v>
      </c>
      <c r="G38" s="12">
        <v>14</v>
      </c>
      <c r="H38" s="8">
        <v>3.24</v>
      </c>
      <c r="I38" s="12">
        <v>0</v>
      </c>
    </row>
    <row r="39" spans="2:9" ht="15" customHeight="1" x14ac:dyDescent="0.2">
      <c r="B39" t="s">
        <v>124</v>
      </c>
      <c r="C39" s="12">
        <v>14</v>
      </c>
      <c r="D39" s="8">
        <v>1.86</v>
      </c>
      <c r="E39" s="12">
        <v>2</v>
      </c>
      <c r="F39" s="8">
        <v>0.62</v>
      </c>
      <c r="G39" s="12">
        <v>12</v>
      </c>
      <c r="H39" s="8">
        <v>2.78</v>
      </c>
      <c r="I39" s="12">
        <v>0</v>
      </c>
    </row>
    <row r="40" spans="2:9" ht="15" customHeight="1" x14ac:dyDescent="0.2">
      <c r="B40" t="s">
        <v>109</v>
      </c>
      <c r="C40" s="12">
        <v>14</v>
      </c>
      <c r="D40" s="8">
        <v>1.86</v>
      </c>
      <c r="E40" s="12">
        <v>10</v>
      </c>
      <c r="F40" s="8">
        <v>3.12</v>
      </c>
      <c r="G40" s="12">
        <v>4</v>
      </c>
      <c r="H40" s="8">
        <v>0.93</v>
      </c>
      <c r="I40" s="12">
        <v>0</v>
      </c>
    </row>
    <row r="41" spans="2:9" ht="15" customHeight="1" x14ac:dyDescent="0.2">
      <c r="B41" t="s">
        <v>103</v>
      </c>
      <c r="C41" s="12">
        <v>13</v>
      </c>
      <c r="D41" s="8">
        <v>1.72</v>
      </c>
      <c r="E41" s="12">
        <v>12</v>
      </c>
      <c r="F41" s="8">
        <v>3.74</v>
      </c>
      <c r="G41" s="12">
        <v>1</v>
      </c>
      <c r="H41" s="8">
        <v>0.23</v>
      </c>
      <c r="I41" s="12">
        <v>0</v>
      </c>
    </row>
    <row r="42" spans="2:9" ht="15" customHeight="1" x14ac:dyDescent="0.2">
      <c r="B42" t="s">
        <v>122</v>
      </c>
      <c r="C42" s="12">
        <v>13</v>
      </c>
      <c r="D42" s="8">
        <v>1.72</v>
      </c>
      <c r="E42" s="12">
        <v>10</v>
      </c>
      <c r="F42" s="8">
        <v>3.12</v>
      </c>
      <c r="G42" s="12">
        <v>3</v>
      </c>
      <c r="H42" s="8">
        <v>0.69</v>
      </c>
      <c r="I42" s="12">
        <v>0</v>
      </c>
    </row>
    <row r="43" spans="2:9" ht="15" customHeight="1" x14ac:dyDescent="0.2">
      <c r="B43" t="s">
        <v>114</v>
      </c>
      <c r="C43" s="12">
        <v>12</v>
      </c>
      <c r="D43" s="8">
        <v>1.59</v>
      </c>
      <c r="E43" s="12">
        <v>0</v>
      </c>
      <c r="F43" s="8">
        <v>0</v>
      </c>
      <c r="G43" s="12">
        <v>11</v>
      </c>
      <c r="H43" s="8">
        <v>2.5499999999999998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36</v>
      </c>
      <c r="D47" s="8">
        <v>4.7699999999999996</v>
      </c>
      <c r="E47" s="12">
        <v>32</v>
      </c>
      <c r="F47" s="8">
        <v>9.9700000000000006</v>
      </c>
      <c r="G47" s="12">
        <v>4</v>
      </c>
      <c r="H47" s="8">
        <v>0.93</v>
      </c>
      <c r="I47" s="12">
        <v>0</v>
      </c>
    </row>
    <row r="48" spans="2:9" ht="15" customHeight="1" x14ac:dyDescent="0.2">
      <c r="B48" t="s">
        <v>170</v>
      </c>
      <c r="C48" s="12">
        <v>28</v>
      </c>
      <c r="D48" s="8">
        <v>3.71</v>
      </c>
      <c r="E48" s="12">
        <v>21</v>
      </c>
      <c r="F48" s="8">
        <v>6.54</v>
      </c>
      <c r="G48" s="12">
        <v>7</v>
      </c>
      <c r="H48" s="8">
        <v>1.62</v>
      </c>
      <c r="I48" s="12">
        <v>0</v>
      </c>
    </row>
    <row r="49" spans="2:9" ht="15" customHeight="1" x14ac:dyDescent="0.2">
      <c r="B49" t="s">
        <v>156</v>
      </c>
      <c r="C49" s="12">
        <v>22</v>
      </c>
      <c r="D49" s="8">
        <v>2.92</v>
      </c>
      <c r="E49" s="12">
        <v>15</v>
      </c>
      <c r="F49" s="8">
        <v>4.67</v>
      </c>
      <c r="G49" s="12">
        <v>7</v>
      </c>
      <c r="H49" s="8">
        <v>1.62</v>
      </c>
      <c r="I49" s="12">
        <v>0</v>
      </c>
    </row>
    <row r="50" spans="2:9" ht="15" customHeight="1" x14ac:dyDescent="0.2">
      <c r="B50" t="s">
        <v>157</v>
      </c>
      <c r="C50" s="12">
        <v>20</v>
      </c>
      <c r="D50" s="8">
        <v>2.65</v>
      </c>
      <c r="E50" s="12">
        <v>8</v>
      </c>
      <c r="F50" s="8">
        <v>2.4900000000000002</v>
      </c>
      <c r="G50" s="12">
        <v>12</v>
      </c>
      <c r="H50" s="8">
        <v>2.78</v>
      </c>
      <c r="I50" s="12">
        <v>0</v>
      </c>
    </row>
    <row r="51" spans="2:9" ht="15" customHeight="1" x14ac:dyDescent="0.2">
      <c r="B51" t="s">
        <v>167</v>
      </c>
      <c r="C51" s="12">
        <v>20</v>
      </c>
      <c r="D51" s="8">
        <v>2.65</v>
      </c>
      <c r="E51" s="12">
        <v>18</v>
      </c>
      <c r="F51" s="8">
        <v>5.61</v>
      </c>
      <c r="G51" s="12">
        <v>2</v>
      </c>
      <c r="H51" s="8">
        <v>0.46</v>
      </c>
      <c r="I51" s="12">
        <v>0</v>
      </c>
    </row>
    <row r="52" spans="2:9" ht="15" customHeight="1" x14ac:dyDescent="0.2">
      <c r="B52" t="s">
        <v>165</v>
      </c>
      <c r="C52" s="12">
        <v>18</v>
      </c>
      <c r="D52" s="8">
        <v>2.39</v>
      </c>
      <c r="E52" s="12">
        <v>16</v>
      </c>
      <c r="F52" s="8">
        <v>4.9800000000000004</v>
      </c>
      <c r="G52" s="12">
        <v>2</v>
      </c>
      <c r="H52" s="8">
        <v>0.46</v>
      </c>
      <c r="I52" s="12">
        <v>0</v>
      </c>
    </row>
    <row r="53" spans="2:9" ht="15" customHeight="1" x14ac:dyDescent="0.2">
      <c r="B53" t="s">
        <v>171</v>
      </c>
      <c r="C53" s="12">
        <v>18</v>
      </c>
      <c r="D53" s="8">
        <v>2.39</v>
      </c>
      <c r="E53" s="12">
        <v>18</v>
      </c>
      <c r="F53" s="8">
        <v>5.61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169</v>
      </c>
      <c r="C54" s="12">
        <v>17</v>
      </c>
      <c r="D54" s="8">
        <v>2.25</v>
      </c>
      <c r="E54" s="12">
        <v>10</v>
      </c>
      <c r="F54" s="8">
        <v>3.12</v>
      </c>
      <c r="G54" s="12">
        <v>7</v>
      </c>
      <c r="H54" s="8">
        <v>1.62</v>
      </c>
      <c r="I54" s="12">
        <v>0</v>
      </c>
    </row>
    <row r="55" spans="2:9" ht="15" customHeight="1" x14ac:dyDescent="0.2">
      <c r="B55" t="s">
        <v>152</v>
      </c>
      <c r="C55" s="12">
        <v>15</v>
      </c>
      <c r="D55" s="8">
        <v>1.99</v>
      </c>
      <c r="E55" s="12">
        <v>2</v>
      </c>
      <c r="F55" s="8">
        <v>0.62</v>
      </c>
      <c r="G55" s="12">
        <v>13</v>
      </c>
      <c r="H55" s="8">
        <v>3.01</v>
      </c>
      <c r="I55" s="12">
        <v>0</v>
      </c>
    </row>
    <row r="56" spans="2:9" ht="15" customHeight="1" x14ac:dyDescent="0.2">
      <c r="B56" t="s">
        <v>154</v>
      </c>
      <c r="C56" s="12">
        <v>15</v>
      </c>
      <c r="D56" s="8">
        <v>1.99</v>
      </c>
      <c r="E56" s="12">
        <v>3</v>
      </c>
      <c r="F56" s="8">
        <v>0.93</v>
      </c>
      <c r="G56" s="12">
        <v>12</v>
      </c>
      <c r="H56" s="8">
        <v>2.78</v>
      </c>
      <c r="I56" s="12">
        <v>0</v>
      </c>
    </row>
    <row r="57" spans="2:9" ht="15" customHeight="1" x14ac:dyDescent="0.2">
      <c r="B57" t="s">
        <v>201</v>
      </c>
      <c r="C57" s="12">
        <v>13</v>
      </c>
      <c r="D57" s="8">
        <v>1.72</v>
      </c>
      <c r="E57" s="12">
        <v>2</v>
      </c>
      <c r="F57" s="8">
        <v>0.62</v>
      </c>
      <c r="G57" s="12">
        <v>11</v>
      </c>
      <c r="H57" s="8">
        <v>2.5499999999999998</v>
      </c>
      <c r="I57" s="12">
        <v>0</v>
      </c>
    </row>
    <row r="58" spans="2:9" ht="15" customHeight="1" x14ac:dyDescent="0.2">
      <c r="B58" t="s">
        <v>202</v>
      </c>
      <c r="C58" s="12">
        <v>13</v>
      </c>
      <c r="D58" s="8">
        <v>1.72</v>
      </c>
      <c r="E58" s="12">
        <v>2</v>
      </c>
      <c r="F58" s="8">
        <v>0.62</v>
      </c>
      <c r="G58" s="12">
        <v>11</v>
      </c>
      <c r="H58" s="8">
        <v>2.5499999999999998</v>
      </c>
      <c r="I58" s="12">
        <v>0</v>
      </c>
    </row>
    <row r="59" spans="2:9" ht="15" customHeight="1" x14ac:dyDescent="0.2">
      <c r="B59" t="s">
        <v>188</v>
      </c>
      <c r="C59" s="12">
        <v>13</v>
      </c>
      <c r="D59" s="8">
        <v>1.72</v>
      </c>
      <c r="E59" s="12">
        <v>10</v>
      </c>
      <c r="F59" s="8">
        <v>3.12</v>
      </c>
      <c r="G59" s="12">
        <v>3</v>
      </c>
      <c r="H59" s="8">
        <v>0.69</v>
      </c>
      <c r="I59" s="12">
        <v>0</v>
      </c>
    </row>
    <row r="60" spans="2:9" ht="15" customHeight="1" x14ac:dyDescent="0.2">
      <c r="B60" t="s">
        <v>153</v>
      </c>
      <c r="C60" s="12">
        <v>12</v>
      </c>
      <c r="D60" s="8">
        <v>1.59</v>
      </c>
      <c r="E60" s="12">
        <v>2</v>
      </c>
      <c r="F60" s="8">
        <v>0.62</v>
      </c>
      <c r="G60" s="12">
        <v>10</v>
      </c>
      <c r="H60" s="8">
        <v>2.31</v>
      </c>
      <c r="I60" s="12">
        <v>0</v>
      </c>
    </row>
    <row r="61" spans="2:9" ht="15" customHeight="1" x14ac:dyDescent="0.2">
      <c r="B61" t="s">
        <v>191</v>
      </c>
      <c r="C61" s="12">
        <v>12</v>
      </c>
      <c r="D61" s="8">
        <v>1.59</v>
      </c>
      <c r="E61" s="12">
        <v>2</v>
      </c>
      <c r="F61" s="8">
        <v>0.62</v>
      </c>
      <c r="G61" s="12">
        <v>10</v>
      </c>
      <c r="H61" s="8">
        <v>2.31</v>
      </c>
      <c r="I61" s="12">
        <v>0</v>
      </c>
    </row>
    <row r="62" spans="2:9" ht="15" customHeight="1" x14ac:dyDescent="0.2">
      <c r="B62" t="s">
        <v>161</v>
      </c>
      <c r="C62" s="12">
        <v>12</v>
      </c>
      <c r="D62" s="8">
        <v>1.59</v>
      </c>
      <c r="E62" s="12">
        <v>2</v>
      </c>
      <c r="F62" s="8">
        <v>0.62</v>
      </c>
      <c r="G62" s="12">
        <v>10</v>
      </c>
      <c r="H62" s="8">
        <v>2.31</v>
      </c>
      <c r="I62" s="12">
        <v>0</v>
      </c>
    </row>
    <row r="63" spans="2:9" ht="15" customHeight="1" x14ac:dyDescent="0.2">
      <c r="B63" t="s">
        <v>184</v>
      </c>
      <c r="C63" s="12">
        <v>11</v>
      </c>
      <c r="D63" s="8">
        <v>1.46</v>
      </c>
      <c r="E63" s="12">
        <v>2</v>
      </c>
      <c r="F63" s="8">
        <v>0.62</v>
      </c>
      <c r="G63" s="12">
        <v>9</v>
      </c>
      <c r="H63" s="8">
        <v>2.08</v>
      </c>
      <c r="I63" s="12">
        <v>0</v>
      </c>
    </row>
    <row r="64" spans="2:9" ht="15" customHeight="1" x14ac:dyDescent="0.2">
      <c r="B64" t="s">
        <v>158</v>
      </c>
      <c r="C64" s="12">
        <v>11</v>
      </c>
      <c r="D64" s="8">
        <v>1.46</v>
      </c>
      <c r="E64" s="12">
        <v>5</v>
      </c>
      <c r="F64" s="8">
        <v>1.56</v>
      </c>
      <c r="G64" s="12">
        <v>6</v>
      </c>
      <c r="H64" s="8">
        <v>1.39</v>
      </c>
      <c r="I64" s="12">
        <v>0</v>
      </c>
    </row>
    <row r="65" spans="2:9" ht="15" customHeight="1" x14ac:dyDescent="0.2">
      <c r="B65" t="s">
        <v>205</v>
      </c>
      <c r="C65" s="12">
        <v>10</v>
      </c>
      <c r="D65" s="8">
        <v>1.33</v>
      </c>
      <c r="E65" s="12">
        <v>2</v>
      </c>
      <c r="F65" s="8">
        <v>0.62</v>
      </c>
      <c r="G65" s="12">
        <v>8</v>
      </c>
      <c r="H65" s="8">
        <v>1.85</v>
      </c>
      <c r="I65" s="12">
        <v>0</v>
      </c>
    </row>
    <row r="66" spans="2:9" ht="15" customHeight="1" x14ac:dyDescent="0.2">
      <c r="B66" t="s">
        <v>200</v>
      </c>
      <c r="C66" s="12">
        <v>10</v>
      </c>
      <c r="D66" s="8">
        <v>1.33</v>
      </c>
      <c r="E66" s="12">
        <v>5</v>
      </c>
      <c r="F66" s="8">
        <v>1.56</v>
      </c>
      <c r="G66" s="12">
        <v>5</v>
      </c>
      <c r="H66" s="8">
        <v>1.1599999999999999</v>
      </c>
      <c r="I66" s="12">
        <v>0</v>
      </c>
    </row>
    <row r="67" spans="2:9" ht="15" customHeight="1" x14ac:dyDescent="0.2">
      <c r="B67" t="s">
        <v>155</v>
      </c>
      <c r="C67" s="12">
        <v>10</v>
      </c>
      <c r="D67" s="8">
        <v>1.33</v>
      </c>
      <c r="E67" s="12">
        <v>3</v>
      </c>
      <c r="F67" s="8">
        <v>0.93</v>
      </c>
      <c r="G67" s="12">
        <v>7</v>
      </c>
      <c r="H67" s="8">
        <v>1.62</v>
      </c>
      <c r="I67" s="12">
        <v>0</v>
      </c>
    </row>
    <row r="68" spans="2:9" ht="15" customHeight="1" x14ac:dyDescent="0.2">
      <c r="B68" t="s">
        <v>196</v>
      </c>
      <c r="C68" s="12">
        <v>10</v>
      </c>
      <c r="D68" s="8">
        <v>1.33</v>
      </c>
      <c r="E68" s="12">
        <v>3</v>
      </c>
      <c r="F68" s="8">
        <v>0.93</v>
      </c>
      <c r="G68" s="12">
        <v>7</v>
      </c>
      <c r="H68" s="8">
        <v>1.62</v>
      </c>
      <c r="I68" s="12">
        <v>0</v>
      </c>
    </row>
    <row r="69" spans="2:9" ht="15" customHeight="1" x14ac:dyDescent="0.2">
      <c r="B69" t="s">
        <v>163</v>
      </c>
      <c r="C69" s="12">
        <v>10</v>
      </c>
      <c r="D69" s="8">
        <v>1.33</v>
      </c>
      <c r="E69" s="12">
        <v>8</v>
      </c>
      <c r="F69" s="8">
        <v>2.4900000000000002</v>
      </c>
      <c r="G69" s="12">
        <v>2</v>
      </c>
      <c r="H69" s="8">
        <v>0.46</v>
      </c>
      <c r="I69" s="12">
        <v>0</v>
      </c>
    </row>
    <row r="70" spans="2:9" ht="15" customHeight="1" x14ac:dyDescent="0.2">
      <c r="B70" t="s">
        <v>211</v>
      </c>
      <c r="C70" s="12">
        <v>10</v>
      </c>
      <c r="D70" s="8">
        <v>1.33</v>
      </c>
      <c r="E70" s="12">
        <v>1</v>
      </c>
      <c r="F70" s="8">
        <v>0.31</v>
      </c>
      <c r="G70" s="12">
        <v>9</v>
      </c>
      <c r="H70" s="8">
        <v>2.08</v>
      </c>
      <c r="I70" s="12">
        <v>0</v>
      </c>
    </row>
    <row r="72" spans="2:9" ht="15" customHeight="1" x14ac:dyDescent="0.2">
      <c r="B72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53C81-03BE-4DFC-A8CF-9F9B2CAD28CB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336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43</v>
      </c>
      <c r="D6" s="8">
        <v>10.91</v>
      </c>
      <c r="E6" s="12">
        <v>12</v>
      </c>
      <c r="F6" s="8">
        <v>7.36</v>
      </c>
      <c r="G6" s="12">
        <v>31</v>
      </c>
      <c r="H6" s="8">
        <v>13.48</v>
      </c>
      <c r="I6" s="12">
        <v>0</v>
      </c>
    </row>
    <row r="7" spans="2:9" ht="15" customHeight="1" x14ac:dyDescent="0.2">
      <c r="B7" t="s">
        <v>73</v>
      </c>
      <c r="C7" s="12">
        <v>54</v>
      </c>
      <c r="D7" s="8">
        <v>13.71</v>
      </c>
      <c r="E7" s="12">
        <v>18</v>
      </c>
      <c r="F7" s="8">
        <v>11.04</v>
      </c>
      <c r="G7" s="12">
        <v>36</v>
      </c>
      <c r="H7" s="8">
        <v>15.65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0.25</v>
      </c>
      <c r="E8" s="12">
        <v>0</v>
      </c>
      <c r="F8" s="8">
        <v>0</v>
      </c>
      <c r="G8" s="12">
        <v>1</v>
      </c>
      <c r="H8" s="8">
        <v>0.43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0.51</v>
      </c>
      <c r="E9" s="12">
        <v>0</v>
      </c>
      <c r="F9" s="8">
        <v>0</v>
      </c>
      <c r="G9" s="12">
        <v>2</v>
      </c>
      <c r="H9" s="8">
        <v>0.87</v>
      </c>
      <c r="I9" s="12">
        <v>0</v>
      </c>
    </row>
    <row r="10" spans="2:9" ht="15" customHeight="1" x14ac:dyDescent="0.2">
      <c r="B10" t="s">
        <v>76</v>
      </c>
      <c r="C10" s="12">
        <v>7</v>
      </c>
      <c r="D10" s="8">
        <v>1.78</v>
      </c>
      <c r="E10" s="12">
        <v>0</v>
      </c>
      <c r="F10" s="8">
        <v>0</v>
      </c>
      <c r="G10" s="12">
        <v>7</v>
      </c>
      <c r="H10" s="8">
        <v>3.04</v>
      </c>
      <c r="I10" s="12">
        <v>0</v>
      </c>
    </row>
    <row r="11" spans="2:9" ht="15" customHeight="1" x14ac:dyDescent="0.2">
      <c r="B11" t="s">
        <v>77</v>
      </c>
      <c r="C11" s="12">
        <v>102</v>
      </c>
      <c r="D11" s="8">
        <v>25.89</v>
      </c>
      <c r="E11" s="12">
        <v>23</v>
      </c>
      <c r="F11" s="8">
        <v>14.11</v>
      </c>
      <c r="G11" s="12">
        <v>79</v>
      </c>
      <c r="H11" s="8">
        <v>34.35</v>
      </c>
      <c r="I11" s="12">
        <v>0</v>
      </c>
    </row>
    <row r="12" spans="2:9" ht="15" customHeight="1" x14ac:dyDescent="0.2">
      <c r="B12" t="s">
        <v>78</v>
      </c>
      <c r="C12" s="12">
        <v>3</v>
      </c>
      <c r="D12" s="8">
        <v>0.76</v>
      </c>
      <c r="E12" s="12">
        <v>0</v>
      </c>
      <c r="F12" s="8">
        <v>0</v>
      </c>
      <c r="G12" s="12">
        <v>3</v>
      </c>
      <c r="H12" s="8">
        <v>1.3</v>
      </c>
      <c r="I12" s="12">
        <v>0</v>
      </c>
    </row>
    <row r="13" spans="2:9" ht="15" customHeight="1" x14ac:dyDescent="0.2">
      <c r="B13" t="s">
        <v>79</v>
      </c>
      <c r="C13" s="12">
        <v>54</v>
      </c>
      <c r="D13" s="8">
        <v>13.71</v>
      </c>
      <c r="E13" s="12">
        <v>35</v>
      </c>
      <c r="F13" s="8">
        <v>21.47</v>
      </c>
      <c r="G13" s="12">
        <v>19</v>
      </c>
      <c r="H13" s="8">
        <v>8.26</v>
      </c>
      <c r="I13" s="12">
        <v>0</v>
      </c>
    </row>
    <row r="14" spans="2:9" ht="15" customHeight="1" x14ac:dyDescent="0.2">
      <c r="B14" t="s">
        <v>80</v>
      </c>
      <c r="C14" s="12">
        <v>20</v>
      </c>
      <c r="D14" s="8">
        <v>5.08</v>
      </c>
      <c r="E14" s="12">
        <v>11</v>
      </c>
      <c r="F14" s="8">
        <v>6.75</v>
      </c>
      <c r="G14" s="12">
        <v>9</v>
      </c>
      <c r="H14" s="8">
        <v>3.91</v>
      </c>
      <c r="I14" s="12">
        <v>0</v>
      </c>
    </row>
    <row r="15" spans="2:9" ht="15" customHeight="1" x14ac:dyDescent="0.2">
      <c r="B15" t="s">
        <v>81</v>
      </c>
      <c r="C15" s="12">
        <v>38</v>
      </c>
      <c r="D15" s="8">
        <v>9.64</v>
      </c>
      <c r="E15" s="12">
        <v>25</v>
      </c>
      <c r="F15" s="8">
        <v>15.34</v>
      </c>
      <c r="G15" s="12">
        <v>13</v>
      </c>
      <c r="H15" s="8">
        <v>5.65</v>
      </c>
      <c r="I15" s="12">
        <v>0</v>
      </c>
    </row>
    <row r="16" spans="2:9" ht="15" customHeight="1" x14ac:dyDescent="0.2">
      <c r="B16" t="s">
        <v>82</v>
      </c>
      <c r="C16" s="12">
        <v>34</v>
      </c>
      <c r="D16" s="8">
        <v>8.6300000000000008</v>
      </c>
      <c r="E16" s="12">
        <v>22</v>
      </c>
      <c r="F16" s="8">
        <v>13.5</v>
      </c>
      <c r="G16" s="12">
        <v>12</v>
      </c>
      <c r="H16" s="8">
        <v>5.22</v>
      </c>
      <c r="I16" s="12">
        <v>0</v>
      </c>
    </row>
    <row r="17" spans="2:9" ht="15" customHeight="1" x14ac:dyDescent="0.2">
      <c r="B17" t="s">
        <v>83</v>
      </c>
      <c r="C17" s="12">
        <v>9</v>
      </c>
      <c r="D17" s="8">
        <v>2.2799999999999998</v>
      </c>
      <c r="E17" s="12">
        <v>6</v>
      </c>
      <c r="F17" s="8">
        <v>3.68</v>
      </c>
      <c r="G17" s="12">
        <v>2</v>
      </c>
      <c r="H17" s="8">
        <v>0.87</v>
      </c>
      <c r="I17" s="12">
        <v>0</v>
      </c>
    </row>
    <row r="18" spans="2:9" ht="15" customHeight="1" x14ac:dyDescent="0.2">
      <c r="B18" t="s">
        <v>84</v>
      </c>
      <c r="C18" s="12">
        <v>10</v>
      </c>
      <c r="D18" s="8">
        <v>2.54</v>
      </c>
      <c r="E18" s="12">
        <v>6</v>
      </c>
      <c r="F18" s="8">
        <v>3.68</v>
      </c>
      <c r="G18" s="12">
        <v>4</v>
      </c>
      <c r="H18" s="8">
        <v>1.74</v>
      </c>
      <c r="I18" s="12">
        <v>0</v>
      </c>
    </row>
    <row r="19" spans="2:9" ht="15" customHeight="1" x14ac:dyDescent="0.2">
      <c r="B19" t="s">
        <v>85</v>
      </c>
      <c r="C19" s="12">
        <v>17</v>
      </c>
      <c r="D19" s="8">
        <v>4.3099999999999996</v>
      </c>
      <c r="E19" s="12">
        <v>5</v>
      </c>
      <c r="F19" s="8">
        <v>3.07</v>
      </c>
      <c r="G19" s="12">
        <v>12</v>
      </c>
      <c r="H19" s="8">
        <v>5.22</v>
      </c>
      <c r="I19" s="12">
        <v>0</v>
      </c>
    </row>
    <row r="20" spans="2:9" ht="15" customHeight="1" x14ac:dyDescent="0.2">
      <c r="B20" s="9" t="s">
        <v>277</v>
      </c>
      <c r="C20" s="12">
        <f>SUM(LTBL_23342[総数／事業所数])</f>
        <v>394</v>
      </c>
      <c r="E20" s="12">
        <f>SUBTOTAL(109,LTBL_23342[個人／事業所数])</f>
        <v>163</v>
      </c>
      <c r="G20" s="12">
        <f>SUBTOTAL(109,LTBL_23342[法人／事業所数])</f>
        <v>230</v>
      </c>
      <c r="I20" s="12">
        <f>SUBTOTAL(109,LTBL_23342[法人以外の団体／事業所数])</f>
        <v>0</v>
      </c>
    </row>
    <row r="21" spans="2:9" ht="15" customHeight="1" x14ac:dyDescent="0.2">
      <c r="E21" s="11">
        <f>LTBL_23342[[#Totals],[個人／事業所数]]/LTBL_23342[[#Totals],[総数／事業所数]]</f>
        <v>0.4137055837563452</v>
      </c>
      <c r="G21" s="11">
        <f>LTBL_23342[[#Totals],[法人／事業所数]]/LTBL_23342[[#Totals],[総数／事業所数]]</f>
        <v>0.58375634517766495</v>
      </c>
      <c r="I21" s="11">
        <f>LTBL_23342[[#Totals],[法人以外の団体／事業所数]]/LTBL_23342[[#Totals],[総数／事業所数]]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45</v>
      </c>
      <c r="D24" s="8">
        <v>11.42</v>
      </c>
      <c r="E24" s="12">
        <v>31</v>
      </c>
      <c r="F24" s="8">
        <v>19.02</v>
      </c>
      <c r="G24" s="12">
        <v>14</v>
      </c>
      <c r="H24" s="8">
        <v>6.09</v>
      </c>
      <c r="I24" s="12">
        <v>0</v>
      </c>
    </row>
    <row r="25" spans="2:9" ht="15" customHeight="1" x14ac:dyDescent="0.2">
      <c r="B25" t="s">
        <v>110</v>
      </c>
      <c r="C25" s="12">
        <v>36</v>
      </c>
      <c r="D25" s="8">
        <v>9.14</v>
      </c>
      <c r="E25" s="12">
        <v>25</v>
      </c>
      <c r="F25" s="8">
        <v>15.34</v>
      </c>
      <c r="G25" s="12">
        <v>11</v>
      </c>
      <c r="H25" s="8">
        <v>4.78</v>
      </c>
      <c r="I25" s="12">
        <v>0</v>
      </c>
    </row>
    <row r="26" spans="2:9" ht="15" customHeight="1" x14ac:dyDescent="0.2">
      <c r="B26" t="s">
        <v>118</v>
      </c>
      <c r="C26" s="12">
        <v>29</v>
      </c>
      <c r="D26" s="8">
        <v>7.36</v>
      </c>
      <c r="E26" s="12">
        <v>2</v>
      </c>
      <c r="F26" s="8">
        <v>1.23</v>
      </c>
      <c r="G26" s="12">
        <v>27</v>
      </c>
      <c r="H26" s="8">
        <v>11.74</v>
      </c>
      <c r="I26" s="12">
        <v>0</v>
      </c>
    </row>
    <row r="27" spans="2:9" ht="15" customHeight="1" x14ac:dyDescent="0.2">
      <c r="B27" t="s">
        <v>111</v>
      </c>
      <c r="C27" s="12">
        <v>28</v>
      </c>
      <c r="D27" s="8">
        <v>7.11</v>
      </c>
      <c r="E27" s="12">
        <v>22</v>
      </c>
      <c r="F27" s="8">
        <v>13.5</v>
      </c>
      <c r="G27" s="12">
        <v>6</v>
      </c>
      <c r="H27" s="8">
        <v>2.61</v>
      </c>
      <c r="I27" s="12">
        <v>0</v>
      </c>
    </row>
    <row r="28" spans="2:9" ht="15" customHeight="1" x14ac:dyDescent="0.2">
      <c r="B28" t="s">
        <v>95</v>
      </c>
      <c r="C28" s="12">
        <v>19</v>
      </c>
      <c r="D28" s="8">
        <v>4.82</v>
      </c>
      <c r="E28" s="12">
        <v>8</v>
      </c>
      <c r="F28" s="8">
        <v>4.91</v>
      </c>
      <c r="G28" s="12">
        <v>11</v>
      </c>
      <c r="H28" s="8">
        <v>4.78</v>
      </c>
      <c r="I28" s="12">
        <v>0</v>
      </c>
    </row>
    <row r="29" spans="2:9" ht="15" customHeight="1" x14ac:dyDescent="0.2">
      <c r="B29" t="s">
        <v>105</v>
      </c>
      <c r="C29" s="12">
        <v>17</v>
      </c>
      <c r="D29" s="8">
        <v>4.3099999999999996</v>
      </c>
      <c r="E29" s="12">
        <v>6</v>
      </c>
      <c r="F29" s="8">
        <v>3.68</v>
      </c>
      <c r="G29" s="12">
        <v>11</v>
      </c>
      <c r="H29" s="8">
        <v>4.78</v>
      </c>
      <c r="I29" s="12">
        <v>0</v>
      </c>
    </row>
    <row r="30" spans="2:9" ht="15" customHeight="1" x14ac:dyDescent="0.2">
      <c r="B30" t="s">
        <v>104</v>
      </c>
      <c r="C30" s="12">
        <v>15</v>
      </c>
      <c r="D30" s="8">
        <v>3.81</v>
      </c>
      <c r="E30" s="12">
        <v>5</v>
      </c>
      <c r="F30" s="8">
        <v>3.07</v>
      </c>
      <c r="G30" s="12">
        <v>10</v>
      </c>
      <c r="H30" s="8">
        <v>4.3499999999999996</v>
      </c>
      <c r="I30" s="12">
        <v>0</v>
      </c>
    </row>
    <row r="31" spans="2:9" ht="15" customHeight="1" x14ac:dyDescent="0.2">
      <c r="B31" t="s">
        <v>102</v>
      </c>
      <c r="C31" s="12">
        <v>14</v>
      </c>
      <c r="D31" s="8">
        <v>3.55</v>
      </c>
      <c r="E31" s="12">
        <v>4</v>
      </c>
      <c r="F31" s="8">
        <v>2.4500000000000002</v>
      </c>
      <c r="G31" s="12">
        <v>10</v>
      </c>
      <c r="H31" s="8">
        <v>4.3499999999999996</v>
      </c>
      <c r="I31" s="12">
        <v>0</v>
      </c>
    </row>
    <row r="32" spans="2:9" ht="15" customHeight="1" x14ac:dyDescent="0.2">
      <c r="B32" t="s">
        <v>94</v>
      </c>
      <c r="C32" s="12">
        <v>12</v>
      </c>
      <c r="D32" s="8">
        <v>3.05</v>
      </c>
      <c r="E32" s="12">
        <v>2</v>
      </c>
      <c r="F32" s="8">
        <v>1.23</v>
      </c>
      <c r="G32" s="12">
        <v>10</v>
      </c>
      <c r="H32" s="8">
        <v>4.3499999999999996</v>
      </c>
      <c r="I32" s="12">
        <v>0</v>
      </c>
    </row>
    <row r="33" spans="2:9" ht="15" customHeight="1" x14ac:dyDescent="0.2">
      <c r="B33" t="s">
        <v>96</v>
      </c>
      <c r="C33" s="12">
        <v>12</v>
      </c>
      <c r="D33" s="8">
        <v>3.05</v>
      </c>
      <c r="E33" s="12">
        <v>2</v>
      </c>
      <c r="F33" s="8">
        <v>1.23</v>
      </c>
      <c r="G33" s="12">
        <v>10</v>
      </c>
      <c r="H33" s="8">
        <v>4.3499999999999996</v>
      </c>
      <c r="I33" s="12">
        <v>0</v>
      </c>
    </row>
    <row r="34" spans="2:9" ht="15" customHeight="1" x14ac:dyDescent="0.2">
      <c r="B34" t="s">
        <v>108</v>
      </c>
      <c r="C34" s="12">
        <v>11</v>
      </c>
      <c r="D34" s="8">
        <v>2.79</v>
      </c>
      <c r="E34" s="12">
        <v>7</v>
      </c>
      <c r="F34" s="8">
        <v>4.29</v>
      </c>
      <c r="G34" s="12">
        <v>4</v>
      </c>
      <c r="H34" s="8">
        <v>1.74</v>
      </c>
      <c r="I34" s="12">
        <v>0</v>
      </c>
    </row>
    <row r="35" spans="2:9" ht="15" customHeight="1" x14ac:dyDescent="0.2">
      <c r="B35" t="s">
        <v>112</v>
      </c>
      <c r="C35" s="12">
        <v>9</v>
      </c>
      <c r="D35" s="8">
        <v>2.2799999999999998</v>
      </c>
      <c r="E35" s="12">
        <v>6</v>
      </c>
      <c r="F35" s="8">
        <v>3.68</v>
      </c>
      <c r="G35" s="12">
        <v>2</v>
      </c>
      <c r="H35" s="8">
        <v>0.87</v>
      </c>
      <c r="I35" s="12">
        <v>0</v>
      </c>
    </row>
    <row r="36" spans="2:9" ht="15" customHeight="1" x14ac:dyDescent="0.2">
      <c r="B36" t="s">
        <v>128</v>
      </c>
      <c r="C36" s="12">
        <v>8</v>
      </c>
      <c r="D36" s="8">
        <v>2.0299999999999998</v>
      </c>
      <c r="E36" s="12">
        <v>3</v>
      </c>
      <c r="F36" s="8">
        <v>1.84</v>
      </c>
      <c r="G36" s="12">
        <v>5</v>
      </c>
      <c r="H36" s="8">
        <v>2.17</v>
      </c>
      <c r="I36" s="12">
        <v>0</v>
      </c>
    </row>
    <row r="37" spans="2:9" ht="15" customHeight="1" x14ac:dyDescent="0.2">
      <c r="B37" t="s">
        <v>99</v>
      </c>
      <c r="C37" s="12">
        <v>8</v>
      </c>
      <c r="D37" s="8">
        <v>2.0299999999999998</v>
      </c>
      <c r="E37" s="12">
        <v>0</v>
      </c>
      <c r="F37" s="8">
        <v>0</v>
      </c>
      <c r="G37" s="12">
        <v>8</v>
      </c>
      <c r="H37" s="8">
        <v>3.48</v>
      </c>
      <c r="I37" s="12">
        <v>0</v>
      </c>
    </row>
    <row r="38" spans="2:9" ht="15" customHeight="1" x14ac:dyDescent="0.2">
      <c r="B38" t="s">
        <v>101</v>
      </c>
      <c r="C38" s="12">
        <v>8</v>
      </c>
      <c r="D38" s="8">
        <v>2.0299999999999998</v>
      </c>
      <c r="E38" s="12">
        <v>0</v>
      </c>
      <c r="F38" s="8">
        <v>0</v>
      </c>
      <c r="G38" s="12">
        <v>8</v>
      </c>
      <c r="H38" s="8">
        <v>3.48</v>
      </c>
      <c r="I38" s="12">
        <v>0</v>
      </c>
    </row>
    <row r="39" spans="2:9" ht="15" customHeight="1" x14ac:dyDescent="0.2">
      <c r="B39" t="s">
        <v>103</v>
      </c>
      <c r="C39" s="12">
        <v>8</v>
      </c>
      <c r="D39" s="8">
        <v>2.0299999999999998</v>
      </c>
      <c r="E39" s="12">
        <v>6</v>
      </c>
      <c r="F39" s="8">
        <v>3.68</v>
      </c>
      <c r="G39" s="12">
        <v>2</v>
      </c>
      <c r="H39" s="8">
        <v>0.87</v>
      </c>
      <c r="I39" s="12">
        <v>0</v>
      </c>
    </row>
    <row r="40" spans="2:9" ht="15" customHeight="1" x14ac:dyDescent="0.2">
      <c r="B40" t="s">
        <v>106</v>
      </c>
      <c r="C40" s="12">
        <v>8</v>
      </c>
      <c r="D40" s="8">
        <v>2.0299999999999998</v>
      </c>
      <c r="E40" s="12">
        <v>4</v>
      </c>
      <c r="F40" s="8">
        <v>2.4500000000000002</v>
      </c>
      <c r="G40" s="12">
        <v>4</v>
      </c>
      <c r="H40" s="8">
        <v>1.74</v>
      </c>
      <c r="I40" s="12">
        <v>0</v>
      </c>
    </row>
    <row r="41" spans="2:9" ht="15" customHeight="1" x14ac:dyDescent="0.2">
      <c r="B41" t="s">
        <v>98</v>
      </c>
      <c r="C41" s="12">
        <v>7</v>
      </c>
      <c r="D41" s="8">
        <v>1.78</v>
      </c>
      <c r="E41" s="12">
        <v>0</v>
      </c>
      <c r="F41" s="8">
        <v>0</v>
      </c>
      <c r="G41" s="12">
        <v>7</v>
      </c>
      <c r="H41" s="8">
        <v>3.04</v>
      </c>
      <c r="I41" s="12">
        <v>0</v>
      </c>
    </row>
    <row r="42" spans="2:9" ht="15" customHeight="1" x14ac:dyDescent="0.2">
      <c r="B42" t="s">
        <v>109</v>
      </c>
      <c r="C42" s="12">
        <v>7</v>
      </c>
      <c r="D42" s="8">
        <v>1.78</v>
      </c>
      <c r="E42" s="12">
        <v>4</v>
      </c>
      <c r="F42" s="8">
        <v>2.4500000000000002</v>
      </c>
      <c r="G42" s="12">
        <v>3</v>
      </c>
      <c r="H42" s="8">
        <v>1.3</v>
      </c>
      <c r="I42" s="12">
        <v>0</v>
      </c>
    </row>
    <row r="43" spans="2:9" ht="15" customHeight="1" x14ac:dyDescent="0.2">
      <c r="B43" t="s">
        <v>113</v>
      </c>
      <c r="C43" s="12">
        <v>7</v>
      </c>
      <c r="D43" s="8">
        <v>1.78</v>
      </c>
      <c r="E43" s="12">
        <v>6</v>
      </c>
      <c r="F43" s="8">
        <v>3.68</v>
      </c>
      <c r="G43" s="12">
        <v>1</v>
      </c>
      <c r="H43" s="8">
        <v>0.43</v>
      </c>
      <c r="I43" s="12">
        <v>0</v>
      </c>
    </row>
    <row r="44" spans="2:9" ht="15" customHeight="1" x14ac:dyDescent="0.2">
      <c r="B44" t="s">
        <v>122</v>
      </c>
      <c r="C44" s="12">
        <v>7</v>
      </c>
      <c r="D44" s="8">
        <v>1.78</v>
      </c>
      <c r="E44" s="12">
        <v>5</v>
      </c>
      <c r="F44" s="8">
        <v>3.07</v>
      </c>
      <c r="G44" s="12">
        <v>2</v>
      </c>
      <c r="H44" s="8">
        <v>0.87</v>
      </c>
      <c r="I44" s="12">
        <v>0</v>
      </c>
    </row>
    <row r="45" spans="2:9" ht="15" customHeight="1" x14ac:dyDescent="0.2">
      <c r="B45" t="s">
        <v>114</v>
      </c>
      <c r="C45" s="12">
        <v>7</v>
      </c>
      <c r="D45" s="8">
        <v>1.78</v>
      </c>
      <c r="E45" s="12">
        <v>0</v>
      </c>
      <c r="F45" s="8">
        <v>0</v>
      </c>
      <c r="G45" s="12">
        <v>7</v>
      </c>
      <c r="H45" s="8">
        <v>3.04</v>
      </c>
      <c r="I45" s="12">
        <v>0</v>
      </c>
    </row>
    <row r="48" spans="2:9" ht="33" customHeight="1" x14ac:dyDescent="0.2">
      <c r="B48" t="s">
        <v>279</v>
      </c>
      <c r="C48" s="10" t="s">
        <v>87</v>
      </c>
      <c r="D48" s="10" t="s">
        <v>88</v>
      </c>
      <c r="E48" s="10" t="s">
        <v>89</v>
      </c>
      <c r="F48" s="10" t="s">
        <v>90</v>
      </c>
      <c r="G48" s="10" t="s">
        <v>91</v>
      </c>
      <c r="H48" s="10" t="s">
        <v>92</v>
      </c>
      <c r="I48" s="10" t="s">
        <v>93</v>
      </c>
    </row>
    <row r="49" spans="2:9" ht="15" customHeight="1" x14ac:dyDescent="0.2">
      <c r="B49" t="s">
        <v>161</v>
      </c>
      <c r="C49" s="12">
        <v>28</v>
      </c>
      <c r="D49" s="8">
        <v>7.11</v>
      </c>
      <c r="E49" s="12">
        <v>21</v>
      </c>
      <c r="F49" s="8">
        <v>12.88</v>
      </c>
      <c r="G49" s="12">
        <v>7</v>
      </c>
      <c r="H49" s="8">
        <v>3.04</v>
      </c>
      <c r="I49" s="12">
        <v>0</v>
      </c>
    </row>
    <row r="50" spans="2:9" ht="15" customHeight="1" x14ac:dyDescent="0.2">
      <c r="B50" t="s">
        <v>194</v>
      </c>
      <c r="C50" s="12">
        <v>20</v>
      </c>
      <c r="D50" s="8">
        <v>5.08</v>
      </c>
      <c r="E50" s="12">
        <v>1</v>
      </c>
      <c r="F50" s="8">
        <v>0.61</v>
      </c>
      <c r="G50" s="12">
        <v>19</v>
      </c>
      <c r="H50" s="8">
        <v>8.26</v>
      </c>
      <c r="I50" s="12">
        <v>0</v>
      </c>
    </row>
    <row r="51" spans="2:9" ht="15" customHeight="1" x14ac:dyDescent="0.2">
      <c r="B51" t="s">
        <v>165</v>
      </c>
      <c r="C51" s="12">
        <v>17</v>
      </c>
      <c r="D51" s="8">
        <v>4.3099999999999996</v>
      </c>
      <c r="E51" s="12">
        <v>15</v>
      </c>
      <c r="F51" s="8">
        <v>9.1999999999999993</v>
      </c>
      <c r="G51" s="12">
        <v>2</v>
      </c>
      <c r="H51" s="8">
        <v>0.87</v>
      </c>
      <c r="I51" s="12">
        <v>0</v>
      </c>
    </row>
    <row r="52" spans="2:9" ht="15" customHeight="1" x14ac:dyDescent="0.2">
      <c r="B52" t="s">
        <v>168</v>
      </c>
      <c r="C52" s="12">
        <v>13</v>
      </c>
      <c r="D52" s="8">
        <v>3.3</v>
      </c>
      <c r="E52" s="12">
        <v>13</v>
      </c>
      <c r="F52" s="8">
        <v>7.98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187</v>
      </c>
      <c r="C53" s="12">
        <v>9</v>
      </c>
      <c r="D53" s="8">
        <v>2.2799999999999998</v>
      </c>
      <c r="E53" s="12">
        <v>1</v>
      </c>
      <c r="F53" s="8">
        <v>0.61</v>
      </c>
      <c r="G53" s="12">
        <v>8</v>
      </c>
      <c r="H53" s="8">
        <v>3.48</v>
      </c>
      <c r="I53" s="12">
        <v>0</v>
      </c>
    </row>
    <row r="54" spans="2:9" ht="15" customHeight="1" x14ac:dyDescent="0.2">
      <c r="B54" t="s">
        <v>193</v>
      </c>
      <c r="C54" s="12">
        <v>9</v>
      </c>
      <c r="D54" s="8">
        <v>2.2799999999999998</v>
      </c>
      <c r="E54" s="12">
        <v>8</v>
      </c>
      <c r="F54" s="8">
        <v>4.91</v>
      </c>
      <c r="G54" s="12">
        <v>1</v>
      </c>
      <c r="H54" s="8">
        <v>0.43</v>
      </c>
      <c r="I54" s="12">
        <v>0</v>
      </c>
    </row>
    <row r="55" spans="2:9" ht="15" customHeight="1" x14ac:dyDescent="0.2">
      <c r="B55" t="s">
        <v>156</v>
      </c>
      <c r="C55" s="12">
        <v>7</v>
      </c>
      <c r="D55" s="8">
        <v>1.78</v>
      </c>
      <c r="E55" s="12">
        <v>2</v>
      </c>
      <c r="F55" s="8">
        <v>1.23</v>
      </c>
      <c r="G55" s="12">
        <v>5</v>
      </c>
      <c r="H55" s="8">
        <v>2.17</v>
      </c>
      <c r="I55" s="12">
        <v>0</v>
      </c>
    </row>
    <row r="56" spans="2:9" ht="15" customHeight="1" x14ac:dyDescent="0.2">
      <c r="B56" t="s">
        <v>159</v>
      </c>
      <c r="C56" s="12">
        <v>7</v>
      </c>
      <c r="D56" s="8">
        <v>1.78</v>
      </c>
      <c r="E56" s="12">
        <v>4</v>
      </c>
      <c r="F56" s="8">
        <v>2.4500000000000002</v>
      </c>
      <c r="G56" s="12">
        <v>3</v>
      </c>
      <c r="H56" s="8">
        <v>1.3</v>
      </c>
      <c r="I56" s="12">
        <v>0</v>
      </c>
    </row>
    <row r="57" spans="2:9" ht="15" customHeight="1" x14ac:dyDescent="0.2">
      <c r="B57" t="s">
        <v>164</v>
      </c>
      <c r="C57" s="12">
        <v>7</v>
      </c>
      <c r="D57" s="8">
        <v>1.78</v>
      </c>
      <c r="E57" s="12">
        <v>6</v>
      </c>
      <c r="F57" s="8">
        <v>3.68</v>
      </c>
      <c r="G57" s="12">
        <v>1</v>
      </c>
      <c r="H57" s="8">
        <v>0.43</v>
      </c>
      <c r="I57" s="12">
        <v>0</v>
      </c>
    </row>
    <row r="58" spans="2:9" ht="15" customHeight="1" x14ac:dyDescent="0.2">
      <c r="B58" t="s">
        <v>188</v>
      </c>
      <c r="C58" s="12">
        <v>7</v>
      </c>
      <c r="D58" s="8">
        <v>1.78</v>
      </c>
      <c r="E58" s="12">
        <v>5</v>
      </c>
      <c r="F58" s="8">
        <v>3.07</v>
      </c>
      <c r="G58" s="12">
        <v>2</v>
      </c>
      <c r="H58" s="8">
        <v>0.87</v>
      </c>
      <c r="I58" s="12">
        <v>0</v>
      </c>
    </row>
    <row r="59" spans="2:9" ht="15" customHeight="1" x14ac:dyDescent="0.2">
      <c r="B59" t="s">
        <v>191</v>
      </c>
      <c r="C59" s="12">
        <v>6</v>
      </c>
      <c r="D59" s="8">
        <v>1.52</v>
      </c>
      <c r="E59" s="12">
        <v>1</v>
      </c>
      <c r="F59" s="8">
        <v>0.61</v>
      </c>
      <c r="G59" s="12">
        <v>5</v>
      </c>
      <c r="H59" s="8">
        <v>2.17</v>
      </c>
      <c r="I59" s="12">
        <v>0</v>
      </c>
    </row>
    <row r="60" spans="2:9" ht="15" customHeight="1" x14ac:dyDescent="0.2">
      <c r="B60" t="s">
        <v>198</v>
      </c>
      <c r="C60" s="12">
        <v>6</v>
      </c>
      <c r="D60" s="8">
        <v>1.52</v>
      </c>
      <c r="E60" s="12">
        <v>2</v>
      </c>
      <c r="F60" s="8">
        <v>1.23</v>
      </c>
      <c r="G60" s="12">
        <v>4</v>
      </c>
      <c r="H60" s="8">
        <v>1.74</v>
      </c>
      <c r="I60" s="12">
        <v>0</v>
      </c>
    </row>
    <row r="61" spans="2:9" ht="15" customHeight="1" x14ac:dyDescent="0.2">
      <c r="B61" t="s">
        <v>160</v>
      </c>
      <c r="C61" s="12">
        <v>6</v>
      </c>
      <c r="D61" s="8">
        <v>1.52</v>
      </c>
      <c r="E61" s="12">
        <v>1</v>
      </c>
      <c r="F61" s="8">
        <v>0.61</v>
      </c>
      <c r="G61" s="12">
        <v>5</v>
      </c>
      <c r="H61" s="8">
        <v>2.17</v>
      </c>
      <c r="I61" s="12">
        <v>0</v>
      </c>
    </row>
    <row r="62" spans="2:9" ht="15" customHeight="1" x14ac:dyDescent="0.2">
      <c r="B62" t="s">
        <v>162</v>
      </c>
      <c r="C62" s="12">
        <v>6</v>
      </c>
      <c r="D62" s="8">
        <v>1.52</v>
      </c>
      <c r="E62" s="12">
        <v>4</v>
      </c>
      <c r="F62" s="8">
        <v>2.4500000000000002</v>
      </c>
      <c r="G62" s="12">
        <v>2</v>
      </c>
      <c r="H62" s="8">
        <v>0.87</v>
      </c>
      <c r="I62" s="12">
        <v>0</v>
      </c>
    </row>
    <row r="63" spans="2:9" ht="15" customHeight="1" x14ac:dyDescent="0.2">
      <c r="B63" t="s">
        <v>163</v>
      </c>
      <c r="C63" s="12">
        <v>6</v>
      </c>
      <c r="D63" s="8">
        <v>1.52</v>
      </c>
      <c r="E63" s="12">
        <v>2</v>
      </c>
      <c r="F63" s="8">
        <v>1.23</v>
      </c>
      <c r="G63" s="12">
        <v>4</v>
      </c>
      <c r="H63" s="8">
        <v>1.74</v>
      </c>
      <c r="I63" s="12">
        <v>0</v>
      </c>
    </row>
    <row r="64" spans="2:9" ht="15" customHeight="1" x14ac:dyDescent="0.2">
      <c r="B64" t="s">
        <v>167</v>
      </c>
      <c r="C64" s="12">
        <v>6</v>
      </c>
      <c r="D64" s="8">
        <v>1.52</v>
      </c>
      <c r="E64" s="12">
        <v>5</v>
      </c>
      <c r="F64" s="8">
        <v>3.07</v>
      </c>
      <c r="G64" s="12">
        <v>1</v>
      </c>
      <c r="H64" s="8">
        <v>0.43</v>
      </c>
      <c r="I64" s="12">
        <v>0</v>
      </c>
    </row>
    <row r="65" spans="2:9" ht="15" customHeight="1" x14ac:dyDescent="0.2">
      <c r="B65" t="s">
        <v>186</v>
      </c>
      <c r="C65" s="12">
        <v>5</v>
      </c>
      <c r="D65" s="8">
        <v>1.27</v>
      </c>
      <c r="E65" s="12">
        <v>4</v>
      </c>
      <c r="F65" s="8">
        <v>2.4500000000000002</v>
      </c>
      <c r="G65" s="12">
        <v>1</v>
      </c>
      <c r="H65" s="8">
        <v>0.43</v>
      </c>
      <c r="I65" s="12">
        <v>0</v>
      </c>
    </row>
    <row r="66" spans="2:9" ht="15" customHeight="1" x14ac:dyDescent="0.2">
      <c r="B66" t="s">
        <v>166</v>
      </c>
      <c r="C66" s="12">
        <v>5</v>
      </c>
      <c r="D66" s="8">
        <v>1.27</v>
      </c>
      <c r="E66" s="12">
        <v>2</v>
      </c>
      <c r="F66" s="8">
        <v>1.23</v>
      </c>
      <c r="G66" s="12">
        <v>3</v>
      </c>
      <c r="H66" s="8">
        <v>1.3</v>
      </c>
      <c r="I66" s="12">
        <v>0</v>
      </c>
    </row>
    <row r="67" spans="2:9" ht="15" customHeight="1" x14ac:dyDescent="0.2">
      <c r="B67" t="s">
        <v>170</v>
      </c>
      <c r="C67" s="12">
        <v>5</v>
      </c>
      <c r="D67" s="8">
        <v>1.27</v>
      </c>
      <c r="E67" s="12">
        <v>4</v>
      </c>
      <c r="F67" s="8">
        <v>2.4500000000000002</v>
      </c>
      <c r="G67" s="12">
        <v>1</v>
      </c>
      <c r="H67" s="8">
        <v>0.43</v>
      </c>
      <c r="I67" s="12">
        <v>0</v>
      </c>
    </row>
    <row r="68" spans="2:9" ht="15" customHeight="1" x14ac:dyDescent="0.2">
      <c r="B68" t="s">
        <v>171</v>
      </c>
      <c r="C68" s="12">
        <v>5</v>
      </c>
      <c r="D68" s="8">
        <v>1.27</v>
      </c>
      <c r="E68" s="12">
        <v>4</v>
      </c>
      <c r="F68" s="8">
        <v>2.4500000000000002</v>
      </c>
      <c r="G68" s="12">
        <v>1</v>
      </c>
      <c r="H68" s="8">
        <v>0.43</v>
      </c>
      <c r="I68" s="12">
        <v>0</v>
      </c>
    </row>
    <row r="69" spans="2:9" ht="15" customHeight="1" x14ac:dyDescent="0.2">
      <c r="B69" t="s">
        <v>180</v>
      </c>
      <c r="C69" s="12">
        <v>5</v>
      </c>
      <c r="D69" s="8">
        <v>1.27</v>
      </c>
      <c r="E69" s="12">
        <v>0</v>
      </c>
      <c r="F69" s="8">
        <v>0</v>
      </c>
      <c r="G69" s="12">
        <v>5</v>
      </c>
      <c r="H69" s="8">
        <v>2.17</v>
      </c>
      <c r="I69" s="12">
        <v>0</v>
      </c>
    </row>
    <row r="71" spans="2:9" ht="15" customHeight="1" x14ac:dyDescent="0.2">
      <c r="B71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B99B-B675-4CDE-B241-725931AD69C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337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64</v>
      </c>
      <c r="D6" s="8">
        <v>15.2</v>
      </c>
      <c r="E6" s="12">
        <v>15</v>
      </c>
      <c r="F6" s="8">
        <v>9.15</v>
      </c>
      <c r="G6" s="12">
        <v>49</v>
      </c>
      <c r="H6" s="8">
        <v>19.440000000000001</v>
      </c>
      <c r="I6" s="12">
        <v>0</v>
      </c>
    </row>
    <row r="7" spans="2:9" ht="15" customHeight="1" x14ac:dyDescent="0.2">
      <c r="B7" t="s">
        <v>73</v>
      </c>
      <c r="C7" s="12">
        <v>88</v>
      </c>
      <c r="D7" s="8">
        <v>20.9</v>
      </c>
      <c r="E7" s="12">
        <v>21</v>
      </c>
      <c r="F7" s="8">
        <v>12.8</v>
      </c>
      <c r="G7" s="12">
        <v>67</v>
      </c>
      <c r="H7" s="8">
        <v>26.59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0.24</v>
      </c>
      <c r="E8" s="12">
        <v>0</v>
      </c>
      <c r="F8" s="8">
        <v>0</v>
      </c>
      <c r="G8" s="12">
        <v>1</v>
      </c>
      <c r="H8" s="8">
        <v>0.4</v>
      </c>
      <c r="I8" s="12">
        <v>0</v>
      </c>
    </row>
    <row r="9" spans="2:9" ht="15" customHeight="1" x14ac:dyDescent="0.2">
      <c r="B9" t="s">
        <v>75</v>
      </c>
      <c r="C9" s="12">
        <v>1</v>
      </c>
      <c r="D9" s="8">
        <v>0.24</v>
      </c>
      <c r="E9" s="12">
        <v>0</v>
      </c>
      <c r="F9" s="8">
        <v>0</v>
      </c>
      <c r="G9" s="12">
        <v>1</v>
      </c>
      <c r="H9" s="8">
        <v>0.4</v>
      </c>
      <c r="I9" s="12">
        <v>0</v>
      </c>
    </row>
    <row r="10" spans="2:9" ht="15" customHeight="1" x14ac:dyDescent="0.2">
      <c r="B10" t="s">
        <v>76</v>
      </c>
      <c r="C10" s="12">
        <v>10</v>
      </c>
      <c r="D10" s="8">
        <v>2.38</v>
      </c>
      <c r="E10" s="12">
        <v>0</v>
      </c>
      <c r="F10" s="8">
        <v>0</v>
      </c>
      <c r="G10" s="12">
        <v>10</v>
      </c>
      <c r="H10" s="8">
        <v>3.97</v>
      </c>
      <c r="I10" s="12">
        <v>0</v>
      </c>
    </row>
    <row r="11" spans="2:9" ht="15" customHeight="1" x14ac:dyDescent="0.2">
      <c r="B11" t="s">
        <v>77</v>
      </c>
      <c r="C11" s="12">
        <v>89</v>
      </c>
      <c r="D11" s="8">
        <v>21.14</v>
      </c>
      <c r="E11" s="12">
        <v>25</v>
      </c>
      <c r="F11" s="8">
        <v>15.24</v>
      </c>
      <c r="G11" s="12">
        <v>64</v>
      </c>
      <c r="H11" s="8">
        <v>25.4</v>
      </c>
      <c r="I11" s="12">
        <v>0</v>
      </c>
    </row>
    <row r="12" spans="2:9" ht="15" customHeight="1" x14ac:dyDescent="0.2">
      <c r="B12" t="s">
        <v>78</v>
      </c>
      <c r="C12" s="12">
        <v>3</v>
      </c>
      <c r="D12" s="8">
        <v>0.71</v>
      </c>
      <c r="E12" s="12">
        <v>0</v>
      </c>
      <c r="F12" s="8">
        <v>0</v>
      </c>
      <c r="G12" s="12">
        <v>3</v>
      </c>
      <c r="H12" s="8">
        <v>1.19</v>
      </c>
      <c r="I12" s="12">
        <v>0</v>
      </c>
    </row>
    <row r="13" spans="2:9" ht="15" customHeight="1" x14ac:dyDescent="0.2">
      <c r="B13" t="s">
        <v>79</v>
      </c>
      <c r="C13" s="12">
        <v>16</v>
      </c>
      <c r="D13" s="8">
        <v>3.8</v>
      </c>
      <c r="E13" s="12">
        <v>3</v>
      </c>
      <c r="F13" s="8">
        <v>1.83</v>
      </c>
      <c r="G13" s="12">
        <v>13</v>
      </c>
      <c r="H13" s="8">
        <v>5.16</v>
      </c>
      <c r="I13" s="12">
        <v>0</v>
      </c>
    </row>
    <row r="14" spans="2:9" ht="15" customHeight="1" x14ac:dyDescent="0.2">
      <c r="B14" t="s">
        <v>80</v>
      </c>
      <c r="C14" s="12">
        <v>14</v>
      </c>
      <c r="D14" s="8">
        <v>3.33</v>
      </c>
      <c r="E14" s="12">
        <v>9</v>
      </c>
      <c r="F14" s="8">
        <v>5.49</v>
      </c>
      <c r="G14" s="12">
        <v>5</v>
      </c>
      <c r="H14" s="8">
        <v>1.98</v>
      </c>
      <c r="I14" s="12">
        <v>0</v>
      </c>
    </row>
    <row r="15" spans="2:9" ht="15" customHeight="1" x14ac:dyDescent="0.2">
      <c r="B15" t="s">
        <v>81</v>
      </c>
      <c r="C15" s="12">
        <v>34</v>
      </c>
      <c r="D15" s="8">
        <v>8.08</v>
      </c>
      <c r="E15" s="12">
        <v>28</v>
      </c>
      <c r="F15" s="8">
        <v>17.07</v>
      </c>
      <c r="G15" s="12">
        <v>5</v>
      </c>
      <c r="H15" s="8">
        <v>1.98</v>
      </c>
      <c r="I15" s="12">
        <v>1</v>
      </c>
    </row>
    <row r="16" spans="2:9" ht="15" customHeight="1" x14ac:dyDescent="0.2">
      <c r="B16" t="s">
        <v>82</v>
      </c>
      <c r="C16" s="12">
        <v>37</v>
      </c>
      <c r="D16" s="8">
        <v>8.7899999999999991</v>
      </c>
      <c r="E16" s="12">
        <v>29</v>
      </c>
      <c r="F16" s="8">
        <v>17.68</v>
      </c>
      <c r="G16" s="12">
        <v>8</v>
      </c>
      <c r="H16" s="8">
        <v>3.17</v>
      </c>
      <c r="I16" s="12">
        <v>0</v>
      </c>
    </row>
    <row r="17" spans="2:9" ht="15" customHeight="1" x14ac:dyDescent="0.2">
      <c r="B17" t="s">
        <v>83</v>
      </c>
      <c r="C17" s="12">
        <v>21</v>
      </c>
      <c r="D17" s="8">
        <v>4.99</v>
      </c>
      <c r="E17" s="12">
        <v>15</v>
      </c>
      <c r="F17" s="8">
        <v>9.15</v>
      </c>
      <c r="G17" s="12">
        <v>5</v>
      </c>
      <c r="H17" s="8">
        <v>1.98</v>
      </c>
      <c r="I17" s="12">
        <v>0</v>
      </c>
    </row>
    <row r="18" spans="2:9" ht="15" customHeight="1" x14ac:dyDescent="0.2">
      <c r="B18" t="s">
        <v>84</v>
      </c>
      <c r="C18" s="12">
        <v>22</v>
      </c>
      <c r="D18" s="8">
        <v>5.23</v>
      </c>
      <c r="E18" s="12">
        <v>9</v>
      </c>
      <c r="F18" s="8">
        <v>5.49</v>
      </c>
      <c r="G18" s="12">
        <v>10</v>
      </c>
      <c r="H18" s="8">
        <v>3.97</v>
      </c>
      <c r="I18" s="12">
        <v>0</v>
      </c>
    </row>
    <row r="19" spans="2:9" ht="15" customHeight="1" x14ac:dyDescent="0.2">
      <c r="B19" t="s">
        <v>85</v>
      </c>
      <c r="C19" s="12">
        <v>21</v>
      </c>
      <c r="D19" s="8">
        <v>4.99</v>
      </c>
      <c r="E19" s="12">
        <v>10</v>
      </c>
      <c r="F19" s="8">
        <v>6.1</v>
      </c>
      <c r="G19" s="12">
        <v>11</v>
      </c>
      <c r="H19" s="8">
        <v>4.37</v>
      </c>
      <c r="I19" s="12">
        <v>0</v>
      </c>
    </row>
    <row r="20" spans="2:9" ht="15" customHeight="1" x14ac:dyDescent="0.2">
      <c r="B20" s="9" t="s">
        <v>277</v>
      </c>
      <c r="C20" s="12">
        <f>SUM(LTBL_23361[総数／事業所数])</f>
        <v>421</v>
      </c>
      <c r="E20" s="12">
        <f>SUBTOTAL(109,LTBL_23361[個人／事業所数])</f>
        <v>164</v>
      </c>
      <c r="G20" s="12">
        <f>SUBTOTAL(109,LTBL_23361[法人／事業所数])</f>
        <v>252</v>
      </c>
      <c r="I20" s="12">
        <f>SUBTOTAL(109,LTBL_23361[法人以外の団体／事業所数])</f>
        <v>1</v>
      </c>
    </row>
    <row r="21" spans="2:9" ht="15" customHeight="1" x14ac:dyDescent="0.2">
      <c r="E21" s="11">
        <f>LTBL_23361[[#Totals],[個人／事業所数]]/LTBL_23361[[#Totals],[総数／事業所数]]</f>
        <v>0.38954869358669836</v>
      </c>
      <c r="G21" s="11">
        <f>LTBL_23361[[#Totals],[法人／事業所数]]/LTBL_23361[[#Totals],[総数／事業所数]]</f>
        <v>0.59857482185273159</v>
      </c>
      <c r="I21" s="11">
        <f>LTBL_23361[[#Totals],[法人以外の団体／事業所数]]/LTBL_23361[[#Totals],[総数／事業所数]]</f>
        <v>2.3752969121140144E-3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33</v>
      </c>
      <c r="D24" s="8">
        <v>7.84</v>
      </c>
      <c r="E24" s="12">
        <v>28</v>
      </c>
      <c r="F24" s="8">
        <v>17.07</v>
      </c>
      <c r="G24" s="12">
        <v>4</v>
      </c>
      <c r="H24" s="8">
        <v>1.59</v>
      </c>
      <c r="I24" s="12">
        <v>1</v>
      </c>
    </row>
    <row r="25" spans="2:9" ht="15" customHeight="1" x14ac:dyDescent="0.2">
      <c r="B25" t="s">
        <v>98</v>
      </c>
      <c r="C25" s="12">
        <v>29</v>
      </c>
      <c r="D25" s="8">
        <v>6.89</v>
      </c>
      <c r="E25" s="12">
        <v>3</v>
      </c>
      <c r="F25" s="8">
        <v>1.83</v>
      </c>
      <c r="G25" s="12">
        <v>26</v>
      </c>
      <c r="H25" s="8">
        <v>10.32</v>
      </c>
      <c r="I25" s="12">
        <v>0</v>
      </c>
    </row>
    <row r="26" spans="2:9" ht="15" customHeight="1" x14ac:dyDescent="0.2">
      <c r="B26" t="s">
        <v>95</v>
      </c>
      <c r="C26" s="12">
        <v>28</v>
      </c>
      <c r="D26" s="8">
        <v>6.65</v>
      </c>
      <c r="E26" s="12">
        <v>9</v>
      </c>
      <c r="F26" s="8">
        <v>5.49</v>
      </c>
      <c r="G26" s="12">
        <v>19</v>
      </c>
      <c r="H26" s="8">
        <v>7.54</v>
      </c>
      <c r="I26" s="12">
        <v>0</v>
      </c>
    </row>
    <row r="27" spans="2:9" ht="15" customHeight="1" x14ac:dyDescent="0.2">
      <c r="B27" t="s">
        <v>111</v>
      </c>
      <c r="C27" s="12">
        <v>28</v>
      </c>
      <c r="D27" s="8">
        <v>6.65</v>
      </c>
      <c r="E27" s="12">
        <v>25</v>
      </c>
      <c r="F27" s="8">
        <v>15.24</v>
      </c>
      <c r="G27" s="12">
        <v>3</v>
      </c>
      <c r="H27" s="8">
        <v>1.19</v>
      </c>
      <c r="I27" s="12">
        <v>0</v>
      </c>
    </row>
    <row r="28" spans="2:9" ht="15" customHeight="1" x14ac:dyDescent="0.2">
      <c r="B28" t="s">
        <v>94</v>
      </c>
      <c r="C28" s="12">
        <v>21</v>
      </c>
      <c r="D28" s="8">
        <v>4.99</v>
      </c>
      <c r="E28" s="12">
        <v>6</v>
      </c>
      <c r="F28" s="8">
        <v>3.66</v>
      </c>
      <c r="G28" s="12">
        <v>15</v>
      </c>
      <c r="H28" s="8">
        <v>5.95</v>
      </c>
      <c r="I28" s="12">
        <v>0</v>
      </c>
    </row>
    <row r="29" spans="2:9" ht="15" customHeight="1" x14ac:dyDescent="0.2">
      <c r="B29" t="s">
        <v>112</v>
      </c>
      <c r="C29" s="12">
        <v>21</v>
      </c>
      <c r="D29" s="8">
        <v>4.99</v>
      </c>
      <c r="E29" s="12">
        <v>15</v>
      </c>
      <c r="F29" s="8">
        <v>9.15</v>
      </c>
      <c r="G29" s="12">
        <v>5</v>
      </c>
      <c r="H29" s="8">
        <v>1.98</v>
      </c>
      <c r="I29" s="12">
        <v>0</v>
      </c>
    </row>
    <row r="30" spans="2:9" ht="15" customHeight="1" x14ac:dyDescent="0.2">
      <c r="B30" t="s">
        <v>99</v>
      </c>
      <c r="C30" s="12">
        <v>19</v>
      </c>
      <c r="D30" s="8">
        <v>4.51</v>
      </c>
      <c r="E30" s="12">
        <v>4</v>
      </c>
      <c r="F30" s="8">
        <v>2.44</v>
      </c>
      <c r="G30" s="12">
        <v>15</v>
      </c>
      <c r="H30" s="8">
        <v>5.95</v>
      </c>
      <c r="I30" s="12">
        <v>0</v>
      </c>
    </row>
    <row r="31" spans="2:9" ht="15" customHeight="1" x14ac:dyDescent="0.2">
      <c r="B31" t="s">
        <v>105</v>
      </c>
      <c r="C31" s="12">
        <v>17</v>
      </c>
      <c r="D31" s="8">
        <v>4.04</v>
      </c>
      <c r="E31" s="12">
        <v>5</v>
      </c>
      <c r="F31" s="8">
        <v>3.05</v>
      </c>
      <c r="G31" s="12">
        <v>12</v>
      </c>
      <c r="H31" s="8">
        <v>4.76</v>
      </c>
      <c r="I31" s="12">
        <v>0</v>
      </c>
    </row>
    <row r="32" spans="2:9" ht="15" customHeight="1" x14ac:dyDescent="0.2">
      <c r="B32" t="s">
        <v>96</v>
      </c>
      <c r="C32" s="12">
        <v>15</v>
      </c>
      <c r="D32" s="8">
        <v>3.56</v>
      </c>
      <c r="E32" s="12">
        <v>0</v>
      </c>
      <c r="F32" s="8">
        <v>0</v>
      </c>
      <c r="G32" s="12">
        <v>15</v>
      </c>
      <c r="H32" s="8">
        <v>5.95</v>
      </c>
      <c r="I32" s="12">
        <v>0</v>
      </c>
    </row>
    <row r="33" spans="2:9" ht="15" customHeight="1" x14ac:dyDescent="0.2">
      <c r="B33" t="s">
        <v>97</v>
      </c>
      <c r="C33" s="12">
        <v>15</v>
      </c>
      <c r="D33" s="8">
        <v>3.56</v>
      </c>
      <c r="E33" s="12">
        <v>3</v>
      </c>
      <c r="F33" s="8">
        <v>1.83</v>
      </c>
      <c r="G33" s="12">
        <v>12</v>
      </c>
      <c r="H33" s="8">
        <v>4.76</v>
      </c>
      <c r="I33" s="12">
        <v>0</v>
      </c>
    </row>
    <row r="34" spans="2:9" ht="15" customHeight="1" x14ac:dyDescent="0.2">
      <c r="B34" t="s">
        <v>122</v>
      </c>
      <c r="C34" s="12">
        <v>12</v>
      </c>
      <c r="D34" s="8">
        <v>2.85</v>
      </c>
      <c r="E34" s="12">
        <v>9</v>
      </c>
      <c r="F34" s="8">
        <v>5.49</v>
      </c>
      <c r="G34" s="12">
        <v>3</v>
      </c>
      <c r="H34" s="8">
        <v>1.19</v>
      </c>
      <c r="I34" s="12">
        <v>0</v>
      </c>
    </row>
    <row r="35" spans="2:9" ht="15" customHeight="1" x14ac:dyDescent="0.2">
      <c r="B35" t="s">
        <v>103</v>
      </c>
      <c r="C35" s="12">
        <v>11</v>
      </c>
      <c r="D35" s="8">
        <v>2.61</v>
      </c>
      <c r="E35" s="12">
        <v>4</v>
      </c>
      <c r="F35" s="8">
        <v>2.44</v>
      </c>
      <c r="G35" s="12">
        <v>7</v>
      </c>
      <c r="H35" s="8">
        <v>2.78</v>
      </c>
      <c r="I35" s="12">
        <v>0</v>
      </c>
    </row>
    <row r="36" spans="2:9" ht="15" customHeight="1" x14ac:dyDescent="0.2">
      <c r="B36" t="s">
        <v>104</v>
      </c>
      <c r="C36" s="12">
        <v>11</v>
      </c>
      <c r="D36" s="8">
        <v>2.61</v>
      </c>
      <c r="E36" s="12">
        <v>8</v>
      </c>
      <c r="F36" s="8">
        <v>4.88</v>
      </c>
      <c r="G36" s="12">
        <v>3</v>
      </c>
      <c r="H36" s="8">
        <v>1.19</v>
      </c>
      <c r="I36" s="12">
        <v>0</v>
      </c>
    </row>
    <row r="37" spans="2:9" ht="15" customHeight="1" x14ac:dyDescent="0.2">
      <c r="B37" t="s">
        <v>113</v>
      </c>
      <c r="C37" s="12">
        <v>11</v>
      </c>
      <c r="D37" s="8">
        <v>2.61</v>
      </c>
      <c r="E37" s="12">
        <v>9</v>
      </c>
      <c r="F37" s="8">
        <v>5.49</v>
      </c>
      <c r="G37" s="12">
        <v>2</v>
      </c>
      <c r="H37" s="8">
        <v>0.79</v>
      </c>
      <c r="I37" s="12">
        <v>0</v>
      </c>
    </row>
    <row r="38" spans="2:9" ht="15" customHeight="1" x14ac:dyDescent="0.2">
      <c r="B38" t="s">
        <v>116</v>
      </c>
      <c r="C38" s="12">
        <v>11</v>
      </c>
      <c r="D38" s="8">
        <v>2.61</v>
      </c>
      <c r="E38" s="12">
        <v>0</v>
      </c>
      <c r="F38" s="8">
        <v>0</v>
      </c>
      <c r="G38" s="12">
        <v>8</v>
      </c>
      <c r="H38" s="8">
        <v>3.17</v>
      </c>
      <c r="I38" s="12">
        <v>0</v>
      </c>
    </row>
    <row r="39" spans="2:9" ht="15" customHeight="1" x14ac:dyDescent="0.2">
      <c r="B39" t="s">
        <v>102</v>
      </c>
      <c r="C39" s="12">
        <v>10</v>
      </c>
      <c r="D39" s="8">
        <v>2.38</v>
      </c>
      <c r="E39" s="12">
        <v>2</v>
      </c>
      <c r="F39" s="8">
        <v>1.22</v>
      </c>
      <c r="G39" s="12">
        <v>8</v>
      </c>
      <c r="H39" s="8">
        <v>3.17</v>
      </c>
      <c r="I39" s="12">
        <v>0</v>
      </c>
    </row>
    <row r="40" spans="2:9" ht="15" customHeight="1" x14ac:dyDescent="0.2">
      <c r="B40" t="s">
        <v>107</v>
      </c>
      <c r="C40" s="12">
        <v>9</v>
      </c>
      <c r="D40" s="8">
        <v>2.14</v>
      </c>
      <c r="E40" s="12">
        <v>2</v>
      </c>
      <c r="F40" s="8">
        <v>1.22</v>
      </c>
      <c r="G40" s="12">
        <v>7</v>
      </c>
      <c r="H40" s="8">
        <v>2.78</v>
      </c>
      <c r="I40" s="12">
        <v>0</v>
      </c>
    </row>
    <row r="41" spans="2:9" ht="15" customHeight="1" x14ac:dyDescent="0.2">
      <c r="B41" t="s">
        <v>100</v>
      </c>
      <c r="C41" s="12">
        <v>8</v>
      </c>
      <c r="D41" s="8">
        <v>1.9</v>
      </c>
      <c r="E41" s="12">
        <v>1</v>
      </c>
      <c r="F41" s="8">
        <v>0.61</v>
      </c>
      <c r="G41" s="12">
        <v>7</v>
      </c>
      <c r="H41" s="8">
        <v>2.78</v>
      </c>
      <c r="I41" s="12">
        <v>0</v>
      </c>
    </row>
    <row r="42" spans="2:9" ht="15" customHeight="1" x14ac:dyDescent="0.2">
      <c r="B42" t="s">
        <v>109</v>
      </c>
      <c r="C42" s="12">
        <v>8</v>
      </c>
      <c r="D42" s="8">
        <v>1.9</v>
      </c>
      <c r="E42" s="12">
        <v>5</v>
      </c>
      <c r="F42" s="8">
        <v>3.05</v>
      </c>
      <c r="G42" s="12">
        <v>3</v>
      </c>
      <c r="H42" s="8">
        <v>1.19</v>
      </c>
      <c r="I42" s="12">
        <v>0</v>
      </c>
    </row>
    <row r="43" spans="2:9" ht="15" customHeight="1" x14ac:dyDescent="0.2">
      <c r="B43" t="s">
        <v>127</v>
      </c>
      <c r="C43" s="12">
        <v>7</v>
      </c>
      <c r="D43" s="8">
        <v>1.66</v>
      </c>
      <c r="E43" s="12">
        <v>3</v>
      </c>
      <c r="F43" s="8">
        <v>1.83</v>
      </c>
      <c r="G43" s="12">
        <v>4</v>
      </c>
      <c r="H43" s="8">
        <v>1.59</v>
      </c>
      <c r="I43" s="12">
        <v>0</v>
      </c>
    </row>
    <row r="44" spans="2:9" ht="15" customHeight="1" x14ac:dyDescent="0.2">
      <c r="B44" t="s">
        <v>115</v>
      </c>
      <c r="C44" s="12">
        <v>7</v>
      </c>
      <c r="D44" s="8">
        <v>1.66</v>
      </c>
      <c r="E44" s="12">
        <v>4</v>
      </c>
      <c r="F44" s="8">
        <v>2.44</v>
      </c>
      <c r="G44" s="12">
        <v>3</v>
      </c>
      <c r="H44" s="8">
        <v>1.19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197</v>
      </c>
      <c r="C48" s="12">
        <v>21</v>
      </c>
      <c r="D48" s="8">
        <v>4.99</v>
      </c>
      <c r="E48" s="12">
        <v>3</v>
      </c>
      <c r="F48" s="8">
        <v>1.83</v>
      </c>
      <c r="G48" s="12">
        <v>18</v>
      </c>
      <c r="H48" s="8">
        <v>7.14</v>
      </c>
      <c r="I48" s="12">
        <v>0</v>
      </c>
    </row>
    <row r="49" spans="2:9" ht="15" customHeight="1" x14ac:dyDescent="0.2">
      <c r="B49" t="s">
        <v>165</v>
      </c>
      <c r="C49" s="12">
        <v>19</v>
      </c>
      <c r="D49" s="8">
        <v>4.51</v>
      </c>
      <c r="E49" s="12">
        <v>18</v>
      </c>
      <c r="F49" s="8">
        <v>10.98</v>
      </c>
      <c r="G49" s="12">
        <v>0</v>
      </c>
      <c r="H49" s="8">
        <v>0</v>
      </c>
      <c r="I49" s="12">
        <v>1</v>
      </c>
    </row>
    <row r="50" spans="2:9" ht="15" customHeight="1" x14ac:dyDescent="0.2">
      <c r="B50" t="s">
        <v>170</v>
      </c>
      <c r="C50" s="12">
        <v>16</v>
      </c>
      <c r="D50" s="8">
        <v>3.8</v>
      </c>
      <c r="E50" s="12">
        <v>12</v>
      </c>
      <c r="F50" s="8">
        <v>7.32</v>
      </c>
      <c r="G50" s="12">
        <v>4</v>
      </c>
      <c r="H50" s="8">
        <v>1.59</v>
      </c>
      <c r="I50" s="12">
        <v>0</v>
      </c>
    </row>
    <row r="51" spans="2:9" ht="15" customHeight="1" x14ac:dyDescent="0.2">
      <c r="B51" t="s">
        <v>168</v>
      </c>
      <c r="C51" s="12">
        <v>14</v>
      </c>
      <c r="D51" s="8">
        <v>3.33</v>
      </c>
      <c r="E51" s="12">
        <v>14</v>
      </c>
      <c r="F51" s="8">
        <v>8.5399999999999991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224</v>
      </c>
      <c r="C52" s="12">
        <v>12</v>
      </c>
      <c r="D52" s="8">
        <v>2.85</v>
      </c>
      <c r="E52" s="12">
        <v>2</v>
      </c>
      <c r="F52" s="8">
        <v>1.22</v>
      </c>
      <c r="G52" s="12">
        <v>10</v>
      </c>
      <c r="H52" s="8">
        <v>3.97</v>
      </c>
      <c r="I52" s="12">
        <v>0</v>
      </c>
    </row>
    <row r="53" spans="2:9" ht="15" customHeight="1" x14ac:dyDescent="0.2">
      <c r="B53" t="s">
        <v>188</v>
      </c>
      <c r="C53" s="12">
        <v>12</v>
      </c>
      <c r="D53" s="8">
        <v>2.85</v>
      </c>
      <c r="E53" s="12">
        <v>9</v>
      </c>
      <c r="F53" s="8">
        <v>5.49</v>
      </c>
      <c r="G53" s="12">
        <v>3</v>
      </c>
      <c r="H53" s="8">
        <v>1.19</v>
      </c>
      <c r="I53" s="12">
        <v>0</v>
      </c>
    </row>
    <row r="54" spans="2:9" ht="15" customHeight="1" x14ac:dyDescent="0.2">
      <c r="B54" t="s">
        <v>156</v>
      </c>
      <c r="C54" s="12">
        <v>10</v>
      </c>
      <c r="D54" s="8">
        <v>2.38</v>
      </c>
      <c r="E54" s="12">
        <v>7</v>
      </c>
      <c r="F54" s="8">
        <v>4.2699999999999996</v>
      </c>
      <c r="G54" s="12">
        <v>3</v>
      </c>
      <c r="H54" s="8">
        <v>1.19</v>
      </c>
      <c r="I54" s="12">
        <v>0</v>
      </c>
    </row>
    <row r="55" spans="2:9" ht="15" customHeight="1" x14ac:dyDescent="0.2">
      <c r="B55" t="s">
        <v>152</v>
      </c>
      <c r="C55" s="12">
        <v>9</v>
      </c>
      <c r="D55" s="8">
        <v>2.14</v>
      </c>
      <c r="E55" s="12">
        <v>2</v>
      </c>
      <c r="F55" s="8">
        <v>1.22</v>
      </c>
      <c r="G55" s="12">
        <v>7</v>
      </c>
      <c r="H55" s="8">
        <v>2.78</v>
      </c>
      <c r="I55" s="12">
        <v>0</v>
      </c>
    </row>
    <row r="56" spans="2:9" ht="15" customHeight="1" x14ac:dyDescent="0.2">
      <c r="B56" t="s">
        <v>167</v>
      </c>
      <c r="C56" s="12">
        <v>8</v>
      </c>
      <c r="D56" s="8">
        <v>1.9</v>
      </c>
      <c r="E56" s="12">
        <v>8</v>
      </c>
      <c r="F56" s="8">
        <v>4.88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171</v>
      </c>
      <c r="C57" s="12">
        <v>8</v>
      </c>
      <c r="D57" s="8">
        <v>1.9</v>
      </c>
      <c r="E57" s="12">
        <v>6</v>
      </c>
      <c r="F57" s="8">
        <v>3.66</v>
      </c>
      <c r="G57" s="12">
        <v>2</v>
      </c>
      <c r="H57" s="8">
        <v>0.79</v>
      </c>
      <c r="I57" s="12">
        <v>0</v>
      </c>
    </row>
    <row r="58" spans="2:9" ht="15" customHeight="1" x14ac:dyDescent="0.2">
      <c r="B58" t="s">
        <v>217</v>
      </c>
      <c r="C58" s="12">
        <v>7</v>
      </c>
      <c r="D58" s="8">
        <v>1.66</v>
      </c>
      <c r="E58" s="12">
        <v>1</v>
      </c>
      <c r="F58" s="8">
        <v>0.61</v>
      </c>
      <c r="G58" s="12">
        <v>6</v>
      </c>
      <c r="H58" s="8">
        <v>2.38</v>
      </c>
      <c r="I58" s="12">
        <v>0</v>
      </c>
    </row>
    <row r="59" spans="2:9" ht="15" customHeight="1" x14ac:dyDescent="0.2">
      <c r="B59" t="s">
        <v>229</v>
      </c>
      <c r="C59" s="12">
        <v>7</v>
      </c>
      <c r="D59" s="8">
        <v>1.66</v>
      </c>
      <c r="E59" s="12">
        <v>3</v>
      </c>
      <c r="F59" s="8">
        <v>1.83</v>
      </c>
      <c r="G59" s="12">
        <v>4</v>
      </c>
      <c r="H59" s="8">
        <v>1.59</v>
      </c>
      <c r="I59" s="12">
        <v>0</v>
      </c>
    </row>
    <row r="60" spans="2:9" ht="15" customHeight="1" x14ac:dyDescent="0.2">
      <c r="B60" t="s">
        <v>191</v>
      </c>
      <c r="C60" s="12">
        <v>7</v>
      </c>
      <c r="D60" s="8">
        <v>1.66</v>
      </c>
      <c r="E60" s="12">
        <v>1</v>
      </c>
      <c r="F60" s="8">
        <v>0.61</v>
      </c>
      <c r="G60" s="12">
        <v>6</v>
      </c>
      <c r="H60" s="8">
        <v>2.38</v>
      </c>
      <c r="I60" s="12">
        <v>0</v>
      </c>
    </row>
    <row r="61" spans="2:9" ht="15" customHeight="1" x14ac:dyDescent="0.2">
      <c r="B61" t="s">
        <v>154</v>
      </c>
      <c r="C61" s="12">
        <v>6</v>
      </c>
      <c r="D61" s="8">
        <v>1.43</v>
      </c>
      <c r="E61" s="12">
        <v>0</v>
      </c>
      <c r="F61" s="8">
        <v>0</v>
      </c>
      <c r="G61" s="12">
        <v>6</v>
      </c>
      <c r="H61" s="8">
        <v>2.38</v>
      </c>
      <c r="I61" s="12">
        <v>0</v>
      </c>
    </row>
    <row r="62" spans="2:9" ht="15" customHeight="1" x14ac:dyDescent="0.2">
      <c r="B62" t="s">
        <v>155</v>
      </c>
      <c r="C62" s="12">
        <v>6</v>
      </c>
      <c r="D62" s="8">
        <v>1.43</v>
      </c>
      <c r="E62" s="12">
        <v>0</v>
      </c>
      <c r="F62" s="8">
        <v>0</v>
      </c>
      <c r="G62" s="12">
        <v>6</v>
      </c>
      <c r="H62" s="8">
        <v>2.38</v>
      </c>
      <c r="I62" s="12">
        <v>0</v>
      </c>
    </row>
    <row r="63" spans="2:9" ht="15" customHeight="1" x14ac:dyDescent="0.2">
      <c r="B63" t="s">
        <v>196</v>
      </c>
      <c r="C63" s="12">
        <v>6</v>
      </c>
      <c r="D63" s="8">
        <v>1.43</v>
      </c>
      <c r="E63" s="12">
        <v>1</v>
      </c>
      <c r="F63" s="8">
        <v>0.61</v>
      </c>
      <c r="G63" s="12">
        <v>5</v>
      </c>
      <c r="H63" s="8">
        <v>1.98</v>
      </c>
      <c r="I63" s="12">
        <v>0</v>
      </c>
    </row>
    <row r="64" spans="2:9" ht="15" customHeight="1" x14ac:dyDescent="0.2">
      <c r="B64" t="s">
        <v>157</v>
      </c>
      <c r="C64" s="12">
        <v>6</v>
      </c>
      <c r="D64" s="8">
        <v>1.43</v>
      </c>
      <c r="E64" s="12">
        <v>2</v>
      </c>
      <c r="F64" s="8">
        <v>1.22</v>
      </c>
      <c r="G64" s="12">
        <v>4</v>
      </c>
      <c r="H64" s="8">
        <v>1.59</v>
      </c>
      <c r="I64" s="12">
        <v>0</v>
      </c>
    </row>
    <row r="65" spans="2:9" ht="15" customHeight="1" x14ac:dyDescent="0.2">
      <c r="B65" t="s">
        <v>192</v>
      </c>
      <c r="C65" s="12">
        <v>6</v>
      </c>
      <c r="D65" s="8">
        <v>1.43</v>
      </c>
      <c r="E65" s="12">
        <v>4</v>
      </c>
      <c r="F65" s="8">
        <v>2.44</v>
      </c>
      <c r="G65" s="12">
        <v>2</v>
      </c>
      <c r="H65" s="8">
        <v>0.79</v>
      </c>
      <c r="I65" s="12">
        <v>0</v>
      </c>
    </row>
    <row r="66" spans="2:9" ht="15" customHeight="1" x14ac:dyDescent="0.2">
      <c r="B66" t="s">
        <v>205</v>
      </c>
      <c r="C66" s="12">
        <v>5</v>
      </c>
      <c r="D66" s="8">
        <v>1.19</v>
      </c>
      <c r="E66" s="12">
        <v>2</v>
      </c>
      <c r="F66" s="8">
        <v>1.22</v>
      </c>
      <c r="G66" s="12">
        <v>3</v>
      </c>
      <c r="H66" s="8">
        <v>1.19</v>
      </c>
      <c r="I66" s="12">
        <v>0</v>
      </c>
    </row>
    <row r="67" spans="2:9" ht="15" customHeight="1" x14ac:dyDescent="0.2">
      <c r="B67" t="s">
        <v>216</v>
      </c>
      <c r="C67" s="12">
        <v>5</v>
      </c>
      <c r="D67" s="8">
        <v>1.19</v>
      </c>
      <c r="E67" s="12">
        <v>0</v>
      </c>
      <c r="F67" s="8">
        <v>0</v>
      </c>
      <c r="G67" s="12">
        <v>5</v>
      </c>
      <c r="H67" s="8">
        <v>1.98</v>
      </c>
      <c r="I67" s="12">
        <v>0</v>
      </c>
    </row>
    <row r="68" spans="2:9" ht="15" customHeight="1" x14ac:dyDescent="0.2">
      <c r="B68" t="s">
        <v>158</v>
      </c>
      <c r="C68" s="12">
        <v>5</v>
      </c>
      <c r="D68" s="8">
        <v>1.19</v>
      </c>
      <c r="E68" s="12">
        <v>1</v>
      </c>
      <c r="F68" s="8">
        <v>0.61</v>
      </c>
      <c r="G68" s="12">
        <v>4</v>
      </c>
      <c r="H68" s="8">
        <v>1.59</v>
      </c>
      <c r="I68" s="12">
        <v>0</v>
      </c>
    </row>
    <row r="69" spans="2:9" ht="15" customHeight="1" x14ac:dyDescent="0.2">
      <c r="B69" t="s">
        <v>163</v>
      </c>
      <c r="C69" s="12">
        <v>5</v>
      </c>
      <c r="D69" s="8">
        <v>1.19</v>
      </c>
      <c r="E69" s="12">
        <v>2</v>
      </c>
      <c r="F69" s="8">
        <v>1.22</v>
      </c>
      <c r="G69" s="12">
        <v>3</v>
      </c>
      <c r="H69" s="8">
        <v>1.19</v>
      </c>
      <c r="I69" s="12">
        <v>0</v>
      </c>
    </row>
    <row r="70" spans="2:9" ht="15" customHeight="1" x14ac:dyDescent="0.2">
      <c r="B70" t="s">
        <v>226</v>
      </c>
      <c r="C70" s="12">
        <v>5</v>
      </c>
      <c r="D70" s="8">
        <v>1.19</v>
      </c>
      <c r="E70" s="12">
        <v>0</v>
      </c>
      <c r="F70" s="8">
        <v>0</v>
      </c>
      <c r="G70" s="12">
        <v>2</v>
      </c>
      <c r="H70" s="8">
        <v>0.79</v>
      </c>
      <c r="I70" s="12">
        <v>0</v>
      </c>
    </row>
    <row r="72" spans="2:9" ht="15" customHeight="1" x14ac:dyDescent="0.2">
      <c r="B72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86AF1-0AF6-4DA4-9D50-E3A63E94480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338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0.17</v>
      </c>
      <c r="E5" s="12">
        <v>0</v>
      </c>
      <c r="F5" s="8">
        <v>0</v>
      </c>
      <c r="G5" s="12">
        <v>1</v>
      </c>
      <c r="H5" s="8">
        <v>0.46</v>
      </c>
      <c r="I5" s="12">
        <v>0</v>
      </c>
    </row>
    <row r="6" spans="2:9" ht="15" customHeight="1" x14ac:dyDescent="0.2">
      <c r="B6" t="s">
        <v>72</v>
      </c>
      <c r="C6" s="12">
        <v>50</v>
      </c>
      <c r="D6" s="8">
        <v>8.65</v>
      </c>
      <c r="E6" s="12">
        <v>15</v>
      </c>
      <c r="F6" s="8">
        <v>4.29</v>
      </c>
      <c r="G6" s="12">
        <v>35</v>
      </c>
      <c r="H6" s="8">
        <v>15.98</v>
      </c>
      <c r="I6" s="12">
        <v>0</v>
      </c>
    </row>
    <row r="7" spans="2:9" ht="15" customHeight="1" x14ac:dyDescent="0.2">
      <c r="B7" t="s">
        <v>73</v>
      </c>
      <c r="C7" s="12">
        <v>76</v>
      </c>
      <c r="D7" s="8">
        <v>13.15</v>
      </c>
      <c r="E7" s="12">
        <v>32</v>
      </c>
      <c r="F7" s="8">
        <v>9.14</v>
      </c>
      <c r="G7" s="12">
        <v>44</v>
      </c>
      <c r="H7" s="8">
        <v>20.09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0.46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0.35</v>
      </c>
      <c r="E9" s="12">
        <v>0</v>
      </c>
      <c r="F9" s="8">
        <v>0</v>
      </c>
      <c r="G9" s="12">
        <v>2</v>
      </c>
      <c r="H9" s="8">
        <v>0.91</v>
      </c>
      <c r="I9" s="12">
        <v>0</v>
      </c>
    </row>
    <row r="10" spans="2:9" ht="15" customHeight="1" x14ac:dyDescent="0.2">
      <c r="B10" t="s">
        <v>76</v>
      </c>
      <c r="C10" s="12">
        <v>6</v>
      </c>
      <c r="D10" s="8">
        <v>1.04</v>
      </c>
      <c r="E10" s="12">
        <v>0</v>
      </c>
      <c r="F10" s="8">
        <v>0</v>
      </c>
      <c r="G10" s="12">
        <v>6</v>
      </c>
      <c r="H10" s="8">
        <v>2.74</v>
      </c>
      <c r="I10" s="12">
        <v>0</v>
      </c>
    </row>
    <row r="11" spans="2:9" ht="15" customHeight="1" x14ac:dyDescent="0.2">
      <c r="B11" t="s">
        <v>77</v>
      </c>
      <c r="C11" s="12">
        <v>108</v>
      </c>
      <c r="D11" s="8">
        <v>18.690000000000001</v>
      </c>
      <c r="E11" s="12">
        <v>47</v>
      </c>
      <c r="F11" s="8">
        <v>13.43</v>
      </c>
      <c r="G11" s="12">
        <v>61</v>
      </c>
      <c r="H11" s="8">
        <v>27.85</v>
      </c>
      <c r="I11" s="12">
        <v>0</v>
      </c>
    </row>
    <row r="12" spans="2:9" ht="15" customHeight="1" x14ac:dyDescent="0.2">
      <c r="B12" t="s">
        <v>78</v>
      </c>
      <c r="C12" s="12">
        <v>1</v>
      </c>
      <c r="D12" s="8">
        <v>0.17</v>
      </c>
      <c r="E12" s="12">
        <v>1</v>
      </c>
      <c r="F12" s="8">
        <v>0.28999999999999998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79</v>
      </c>
      <c r="C13" s="12">
        <v>53</v>
      </c>
      <c r="D13" s="8">
        <v>9.17</v>
      </c>
      <c r="E13" s="12">
        <v>31</v>
      </c>
      <c r="F13" s="8">
        <v>8.86</v>
      </c>
      <c r="G13" s="12">
        <v>22</v>
      </c>
      <c r="H13" s="8">
        <v>10.050000000000001</v>
      </c>
      <c r="I13" s="12">
        <v>0</v>
      </c>
    </row>
    <row r="14" spans="2:9" ht="15" customHeight="1" x14ac:dyDescent="0.2">
      <c r="B14" t="s">
        <v>80</v>
      </c>
      <c r="C14" s="12">
        <v>29</v>
      </c>
      <c r="D14" s="8">
        <v>5.0199999999999996</v>
      </c>
      <c r="E14" s="12">
        <v>22</v>
      </c>
      <c r="F14" s="8">
        <v>6.29</v>
      </c>
      <c r="G14" s="12">
        <v>7</v>
      </c>
      <c r="H14" s="8">
        <v>3.2</v>
      </c>
      <c r="I14" s="12">
        <v>0</v>
      </c>
    </row>
    <row r="15" spans="2:9" ht="15" customHeight="1" x14ac:dyDescent="0.2">
      <c r="B15" t="s">
        <v>81</v>
      </c>
      <c r="C15" s="12">
        <v>74</v>
      </c>
      <c r="D15" s="8">
        <v>12.8</v>
      </c>
      <c r="E15" s="12">
        <v>68</v>
      </c>
      <c r="F15" s="8">
        <v>19.43</v>
      </c>
      <c r="G15" s="12">
        <v>6</v>
      </c>
      <c r="H15" s="8">
        <v>2.74</v>
      </c>
      <c r="I15" s="12">
        <v>0</v>
      </c>
    </row>
    <row r="16" spans="2:9" ht="15" customHeight="1" x14ac:dyDescent="0.2">
      <c r="B16" t="s">
        <v>82</v>
      </c>
      <c r="C16" s="12">
        <v>92</v>
      </c>
      <c r="D16" s="8">
        <v>15.92</v>
      </c>
      <c r="E16" s="12">
        <v>74</v>
      </c>
      <c r="F16" s="8">
        <v>21.14</v>
      </c>
      <c r="G16" s="12">
        <v>18</v>
      </c>
      <c r="H16" s="8">
        <v>8.2200000000000006</v>
      </c>
      <c r="I16" s="12">
        <v>0</v>
      </c>
    </row>
    <row r="17" spans="2:9" ht="15" customHeight="1" x14ac:dyDescent="0.2">
      <c r="B17" t="s">
        <v>83</v>
      </c>
      <c r="C17" s="12">
        <v>43</v>
      </c>
      <c r="D17" s="8">
        <v>7.44</v>
      </c>
      <c r="E17" s="12">
        <v>31</v>
      </c>
      <c r="F17" s="8">
        <v>8.86</v>
      </c>
      <c r="G17" s="12">
        <v>4</v>
      </c>
      <c r="H17" s="8">
        <v>1.83</v>
      </c>
      <c r="I17" s="12">
        <v>0</v>
      </c>
    </row>
    <row r="18" spans="2:9" ht="15" customHeight="1" x14ac:dyDescent="0.2">
      <c r="B18" t="s">
        <v>84</v>
      </c>
      <c r="C18" s="12">
        <v>30</v>
      </c>
      <c r="D18" s="8">
        <v>5.19</v>
      </c>
      <c r="E18" s="12">
        <v>24</v>
      </c>
      <c r="F18" s="8">
        <v>6.86</v>
      </c>
      <c r="G18" s="12">
        <v>6</v>
      </c>
      <c r="H18" s="8">
        <v>2.74</v>
      </c>
      <c r="I18" s="12">
        <v>0</v>
      </c>
    </row>
    <row r="19" spans="2:9" ht="15" customHeight="1" x14ac:dyDescent="0.2">
      <c r="B19" t="s">
        <v>85</v>
      </c>
      <c r="C19" s="12">
        <v>12</v>
      </c>
      <c r="D19" s="8">
        <v>2.08</v>
      </c>
      <c r="E19" s="12">
        <v>5</v>
      </c>
      <c r="F19" s="8">
        <v>1.43</v>
      </c>
      <c r="G19" s="12">
        <v>6</v>
      </c>
      <c r="H19" s="8">
        <v>2.74</v>
      </c>
      <c r="I19" s="12">
        <v>0</v>
      </c>
    </row>
    <row r="20" spans="2:9" ht="15" customHeight="1" x14ac:dyDescent="0.2">
      <c r="B20" s="9" t="s">
        <v>277</v>
      </c>
      <c r="C20" s="12">
        <f>SUM(LTBL_23362[総数／事業所数])</f>
        <v>578</v>
      </c>
      <c r="E20" s="12">
        <f>SUBTOTAL(109,LTBL_23362[個人／事業所数])</f>
        <v>350</v>
      </c>
      <c r="G20" s="12">
        <f>SUBTOTAL(109,LTBL_23362[法人／事業所数])</f>
        <v>219</v>
      </c>
      <c r="I20" s="12">
        <f>SUBTOTAL(109,LTBL_23362[法人以外の団体／事業所数])</f>
        <v>0</v>
      </c>
    </row>
    <row r="21" spans="2:9" ht="15" customHeight="1" x14ac:dyDescent="0.2">
      <c r="E21" s="11">
        <f>LTBL_23362[[#Totals],[個人／事業所数]]/LTBL_23362[[#Totals],[総数／事業所数]]</f>
        <v>0.60553633217993075</v>
      </c>
      <c r="G21" s="11">
        <f>LTBL_23362[[#Totals],[法人／事業所数]]/LTBL_23362[[#Totals],[総数／事業所数]]</f>
        <v>0.37889273356401382</v>
      </c>
      <c r="I21" s="11">
        <f>LTBL_23362[[#Totals],[法人以外の団体／事業所数]]/LTBL_23362[[#Totals],[総数／事業所数]]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72</v>
      </c>
      <c r="D24" s="8">
        <v>12.46</v>
      </c>
      <c r="E24" s="12">
        <v>67</v>
      </c>
      <c r="F24" s="8">
        <v>19.14</v>
      </c>
      <c r="G24" s="12">
        <v>5</v>
      </c>
      <c r="H24" s="8">
        <v>2.2799999999999998</v>
      </c>
      <c r="I24" s="12">
        <v>0</v>
      </c>
    </row>
    <row r="25" spans="2:9" ht="15" customHeight="1" x14ac:dyDescent="0.2">
      <c r="B25" t="s">
        <v>111</v>
      </c>
      <c r="C25" s="12">
        <v>70</v>
      </c>
      <c r="D25" s="8">
        <v>12.11</v>
      </c>
      <c r="E25" s="12">
        <v>59</v>
      </c>
      <c r="F25" s="8">
        <v>16.86</v>
      </c>
      <c r="G25" s="12">
        <v>11</v>
      </c>
      <c r="H25" s="8">
        <v>5.0199999999999996</v>
      </c>
      <c r="I25" s="12">
        <v>0</v>
      </c>
    </row>
    <row r="26" spans="2:9" ht="15" customHeight="1" x14ac:dyDescent="0.2">
      <c r="B26" t="s">
        <v>107</v>
      </c>
      <c r="C26" s="12">
        <v>43</v>
      </c>
      <c r="D26" s="8">
        <v>7.44</v>
      </c>
      <c r="E26" s="12">
        <v>30</v>
      </c>
      <c r="F26" s="8">
        <v>8.57</v>
      </c>
      <c r="G26" s="12">
        <v>13</v>
      </c>
      <c r="H26" s="8">
        <v>5.94</v>
      </c>
      <c r="I26" s="12">
        <v>0</v>
      </c>
    </row>
    <row r="27" spans="2:9" ht="15" customHeight="1" x14ac:dyDescent="0.2">
      <c r="B27" t="s">
        <v>112</v>
      </c>
      <c r="C27" s="12">
        <v>43</v>
      </c>
      <c r="D27" s="8">
        <v>7.44</v>
      </c>
      <c r="E27" s="12">
        <v>31</v>
      </c>
      <c r="F27" s="8">
        <v>8.86</v>
      </c>
      <c r="G27" s="12">
        <v>4</v>
      </c>
      <c r="H27" s="8">
        <v>1.83</v>
      </c>
      <c r="I27" s="12">
        <v>0</v>
      </c>
    </row>
    <row r="28" spans="2:9" ht="15" customHeight="1" x14ac:dyDescent="0.2">
      <c r="B28" t="s">
        <v>105</v>
      </c>
      <c r="C28" s="12">
        <v>32</v>
      </c>
      <c r="D28" s="8">
        <v>5.54</v>
      </c>
      <c r="E28" s="12">
        <v>14</v>
      </c>
      <c r="F28" s="8">
        <v>4</v>
      </c>
      <c r="G28" s="12">
        <v>18</v>
      </c>
      <c r="H28" s="8">
        <v>8.2200000000000006</v>
      </c>
      <c r="I28" s="12">
        <v>0</v>
      </c>
    </row>
    <row r="29" spans="2:9" ht="15" customHeight="1" x14ac:dyDescent="0.2">
      <c r="B29" t="s">
        <v>113</v>
      </c>
      <c r="C29" s="12">
        <v>25</v>
      </c>
      <c r="D29" s="8">
        <v>4.33</v>
      </c>
      <c r="E29" s="12">
        <v>24</v>
      </c>
      <c r="F29" s="8">
        <v>6.86</v>
      </c>
      <c r="G29" s="12">
        <v>1</v>
      </c>
      <c r="H29" s="8">
        <v>0.46</v>
      </c>
      <c r="I29" s="12">
        <v>0</v>
      </c>
    </row>
    <row r="30" spans="2:9" ht="15" customHeight="1" x14ac:dyDescent="0.2">
      <c r="B30" t="s">
        <v>95</v>
      </c>
      <c r="C30" s="12">
        <v>20</v>
      </c>
      <c r="D30" s="8">
        <v>3.46</v>
      </c>
      <c r="E30" s="12">
        <v>11</v>
      </c>
      <c r="F30" s="8">
        <v>3.14</v>
      </c>
      <c r="G30" s="12">
        <v>9</v>
      </c>
      <c r="H30" s="8">
        <v>4.1100000000000003</v>
      </c>
      <c r="I30" s="12">
        <v>0</v>
      </c>
    </row>
    <row r="31" spans="2:9" ht="15" customHeight="1" x14ac:dyDescent="0.2">
      <c r="B31" t="s">
        <v>94</v>
      </c>
      <c r="C31" s="12">
        <v>19</v>
      </c>
      <c r="D31" s="8">
        <v>3.29</v>
      </c>
      <c r="E31" s="12">
        <v>2</v>
      </c>
      <c r="F31" s="8">
        <v>0.56999999999999995</v>
      </c>
      <c r="G31" s="12">
        <v>17</v>
      </c>
      <c r="H31" s="8">
        <v>7.76</v>
      </c>
      <c r="I31" s="12">
        <v>0</v>
      </c>
    </row>
    <row r="32" spans="2:9" ht="15" customHeight="1" x14ac:dyDescent="0.2">
      <c r="B32" t="s">
        <v>102</v>
      </c>
      <c r="C32" s="12">
        <v>18</v>
      </c>
      <c r="D32" s="8">
        <v>3.11</v>
      </c>
      <c r="E32" s="12">
        <v>5</v>
      </c>
      <c r="F32" s="8">
        <v>1.43</v>
      </c>
      <c r="G32" s="12">
        <v>13</v>
      </c>
      <c r="H32" s="8">
        <v>5.94</v>
      </c>
      <c r="I32" s="12">
        <v>0</v>
      </c>
    </row>
    <row r="33" spans="2:9" ht="15" customHeight="1" x14ac:dyDescent="0.2">
      <c r="B33" t="s">
        <v>104</v>
      </c>
      <c r="C33" s="12">
        <v>18</v>
      </c>
      <c r="D33" s="8">
        <v>3.11</v>
      </c>
      <c r="E33" s="12">
        <v>9</v>
      </c>
      <c r="F33" s="8">
        <v>2.57</v>
      </c>
      <c r="G33" s="12">
        <v>9</v>
      </c>
      <c r="H33" s="8">
        <v>4.1100000000000003</v>
      </c>
      <c r="I33" s="12">
        <v>0</v>
      </c>
    </row>
    <row r="34" spans="2:9" ht="15" customHeight="1" x14ac:dyDescent="0.2">
      <c r="B34" t="s">
        <v>97</v>
      </c>
      <c r="C34" s="12">
        <v>16</v>
      </c>
      <c r="D34" s="8">
        <v>2.77</v>
      </c>
      <c r="E34" s="12">
        <v>6</v>
      </c>
      <c r="F34" s="8">
        <v>1.71</v>
      </c>
      <c r="G34" s="12">
        <v>10</v>
      </c>
      <c r="H34" s="8">
        <v>4.57</v>
      </c>
      <c r="I34" s="12">
        <v>0</v>
      </c>
    </row>
    <row r="35" spans="2:9" ht="15" customHeight="1" x14ac:dyDescent="0.2">
      <c r="B35" t="s">
        <v>115</v>
      </c>
      <c r="C35" s="12">
        <v>16</v>
      </c>
      <c r="D35" s="8">
        <v>2.77</v>
      </c>
      <c r="E35" s="12">
        <v>10</v>
      </c>
      <c r="F35" s="8">
        <v>2.86</v>
      </c>
      <c r="G35" s="12">
        <v>6</v>
      </c>
      <c r="H35" s="8">
        <v>2.74</v>
      </c>
      <c r="I35" s="12">
        <v>0</v>
      </c>
    </row>
    <row r="36" spans="2:9" ht="15" customHeight="1" x14ac:dyDescent="0.2">
      <c r="B36" t="s">
        <v>103</v>
      </c>
      <c r="C36" s="12">
        <v>15</v>
      </c>
      <c r="D36" s="8">
        <v>2.6</v>
      </c>
      <c r="E36" s="12">
        <v>13</v>
      </c>
      <c r="F36" s="8">
        <v>3.71</v>
      </c>
      <c r="G36" s="12">
        <v>2</v>
      </c>
      <c r="H36" s="8">
        <v>0.91</v>
      </c>
      <c r="I36" s="12">
        <v>0</v>
      </c>
    </row>
    <row r="37" spans="2:9" ht="15" customHeight="1" x14ac:dyDescent="0.2">
      <c r="B37" t="s">
        <v>109</v>
      </c>
      <c r="C37" s="12">
        <v>15</v>
      </c>
      <c r="D37" s="8">
        <v>2.6</v>
      </c>
      <c r="E37" s="12">
        <v>10</v>
      </c>
      <c r="F37" s="8">
        <v>2.86</v>
      </c>
      <c r="G37" s="12">
        <v>5</v>
      </c>
      <c r="H37" s="8">
        <v>2.2799999999999998</v>
      </c>
      <c r="I37" s="12">
        <v>0</v>
      </c>
    </row>
    <row r="38" spans="2:9" ht="15" customHeight="1" x14ac:dyDescent="0.2">
      <c r="B38" t="s">
        <v>108</v>
      </c>
      <c r="C38" s="12">
        <v>14</v>
      </c>
      <c r="D38" s="8">
        <v>2.42</v>
      </c>
      <c r="E38" s="12">
        <v>12</v>
      </c>
      <c r="F38" s="8">
        <v>3.43</v>
      </c>
      <c r="G38" s="12">
        <v>2</v>
      </c>
      <c r="H38" s="8">
        <v>0.91</v>
      </c>
      <c r="I38" s="12">
        <v>0</v>
      </c>
    </row>
    <row r="39" spans="2:9" ht="15" customHeight="1" x14ac:dyDescent="0.2">
      <c r="B39" t="s">
        <v>98</v>
      </c>
      <c r="C39" s="12">
        <v>12</v>
      </c>
      <c r="D39" s="8">
        <v>2.08</v>
      </c>
      <c r="E39" s="12">
        <v>2</v>
      </c>
      <c r="F39" s="8">
        <v>0.56999999999999995</v>
      </c>
      <c r="G39" s="12">
        <v>10</v>
      </c>
      <c r="H39" s="8">
        <v>4.57</v>
      </c>
      <c r="I39" s="12">
        <v>0</v>
      </c>
    </row>
    <row r="40" spans="2:9" ht="15" customHeight="1" x14ac:dyDescent="0.2">
      <c r="B40" t="s">
        <v>96</v>
      </c>
      <c r="C40" s="12">
        <v>11</v>
      </c>
      <c r="D40" s="8">
        <v>1.9</v>
      </c>
      <c r="E40" s="12">
        <v>2</v>
      </c>
      <c r="F40" s="8">
        <v>0.56999999999999995</v>
      </c>
      <c r="G40" s="12">
        <v>9</v>
      </c>
      <c r="H40" s="8">
        <v>4.1100000000000003</v>
      </c>
      <c r="I40" s="12">
        <v>0</v>
      </c>
    </row>
    <row r="41" spans="2:9" ht="15" customHeight="1" x14ac:dyDescent="0.2">
      <c r="B41" t="s">
        <v>106</v>
      </c>
      <c r="C41" s="12">
        <v>10</v>
      </c>
      <c r="D41" s="8">
        <v>1.73</v>
      </c>
      <c r="E41" s="12">
        <v>1</v>
      </c>
      <c r="F41" s="8">
        <v>0.28999999999999998</v>
      </c>
      <c r="G41" s="12">
        <v>9</v>
      </c>
      <c r="H41" s="8">
        <v>4.1100000000000003</v>
      </c>
      <c r="I41" s="12">
        <v>0</v>
      </c>
    </row>
    <row r="42" spans="2:9" ht="15" customHeight="1" x14ac:dyDescent="0.2">
      <c r="B42" t="s">
        <v>100</v>
      </c>
      <c r="C42" s="12">
        <v>9</v>
      </c>
      <c r="D42" s="8">
        <v>1.56</v>
      </c>
      <c r="E42" s="12">
        <v>2</v>
      </c>
      <c r="F42" s="8">
        <v>0.56999999999999995</v>
      </c>
      <c r="G42" s="12">
        <v>7</v>
      </c>
      <c r="H42" s="8">
        <v>3.2</v>
      </c>
      <c r="I42" s="12">
        <v>0</v>
      </c>
    </row>
    <row r="43" spans="2:9" ht="15" customHeight="1" x14ac:dyDescent="0.2">
      <c r="B43" t="s">
        <v>99</v>
      </c>
      <c r="C43" s="12">
        <v>8</v>
      </c>
      <c r="D43" s="8">
        <v>1.38</v>
      </c>
      <c r="E43" s="12">
        <v>2</v>
      </c>
      <c r="F43" s="8">
        <v>0.56999999999999995</v>
      </c>
      <c r="G43" s="12">
        <v>6</v>
      </c>
      <c r="H43" s="8">
        <v>2.74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33</v>
      </c>
      <c r="D47" s="8">
        <v>5.71</v>
      </c>
      <c r="E47" s="12">
        <v>26</v>
      </c>
      <c r="F47" s="8">
        <v>7.43</v>
      </c>
      <c r="G47" s="12">
        <v>7</v>
      </c>
      <c r="H47" s="8">
        <v>3.2</v>
      </c>
      <c r="I47" s="12">
        <v>0</v>
      </c>
    </row>
    <row r="48" spans="2:9" ht="15" customHeight="1" x14ac:dyDescent="0.2">
      <c r="B48" t="s">
        <v>168</v>
      </c>
      <c r="C48" s="12">
        <v>31</v>
      </c>
      <c r="D48" s="8">
        <v>5.36</v>
      </c>
      <c r="E48" s="12">
        <v>28</v>
      </c>
      <c r="F48" s="8">
        <v>8</v>
      </c>
      <c r="G48" s="12">
        <v>3</v>
      </c>
      <c r="H48" s="8">
        <v>1.37</v>
      </c>
      <c r="I48" s="12">
        <v>0</v>
      </c>
    </row>
    <row r="49" spans="2:9" ht="15" customHeight="1" x14ac:dyDescent="0.2">
      <c r="B49" t="s">
        <v>170</v>
      </c>
      <c r="C49" s="12">
        <v>27</v>
      </c>
      <c r="D49" s="8">
        <v>4.67</v>
      </c>
      <c r="E49" s="12">
        <v>23</v>
      </c>
      <c r="F49" s="8">
        <v>6.57</v>
      </c>
      <c r="G49" s="12">
        <v>4</v>
      </c>
      <c r="H49" s="8">
        <v>1.83</v>
      </c>
      <c r="I49" s="12">
        <v>0</v>
      </c>
    </row>
    <row r="50" spans="2:9" ht="15" customHeight="1" x14ac:dyDescent="0.2">
      <c r="B50" t="s">
        <v>171</v>
      </c>
      <c r="C50" s="12">
        <v>23</v>
      </c>
      <c r="D50" s="8">
        <v>3.98</v>
      </c>
      <c r="E50" s="12">
        <v>22</v>
      </c>
      <c r="F50" s="8">
        <v>6.29</v>
      </c>
      <c r="G50" s="12">
        <v>1</v>
      </c>
      <c r="H50" s="8">
        <v>0.46</v>
      </c>
      <c r="I50" s="12">
        <v>0</v>
      </c>
    </row>
    <row r="51" spans="2:9" ht="15" customHeight="1" x14ac:dyDescent="0.2">
      <c r="B51" t="s">
        <v>165</v>
      </c>
      <c r="C51" s="12">
        <v>22</v>
      </c>
      <c r="D51" s="8">
        <v>3.81</v>
      </c>
      <c r="E51" s="12">
        <v>21</v>
      </c>
      <c r="F51" s="8">
        <v>6</v>
      </c>
      <c r="G51" s="12">
        <v>1</v>
      </c>
      <c r="H51" s="8">
        <v>0.46</v>
      </c>
      <c r="I51" s="12">
        <v>0</v>
      </c>
    </row>
    <row r="52" spans="2:9" ht="15" customHeight="1" x14ac:dyDescent="0.2">
      <c r="B52" t="s">
        <v>167</v>
      </c>
      <c r="C52" s="12">
        <v>21</v>
      </c>
      <c r="D52" s="8">
        <v>3.63</v>
      </c>
      <c r="E52" s="12">
        <v>20</v>
      </c>
      <c r="F52" s="8">
        <v>5.71</v>
      </c>
      <c r="G52" s="12">
        <v>1</v>
      </c>
      <c r="H52" s="8">
        <v>0.46</v>
      </c>
      <c r="I52" s="12">
        <v>0</v>
      </c>
    </row>
    <row r="53" spans="2:9" ht="15" customHeight="1" x14ac:dyDescent="0.2">
      <c r="B53" t="s">
        <v>163</v>
      </c>
      <c r="C53" s="12">
        <v>20</v>
      </c>
      <c r="D53" s="8">
        <v>3.46</v>
      </c>
      <c r="E53" s="12">
        <v>17</v>
      </c>
      <c r="F53" s="8">
        <v>4.8600000000000003</v>
      </c>
      <c r="G53" s="12">
        <v>3</v>
      </c>
      <c r="H53" s="8">
        <v>1.37</v>
      </c>
      <c r="I53" s="12">
        <v>0</v>
      </c>
    </row>
    <row r="54" spans="2:9" ht="15" customHeight="1" x14ac:dyDescent="0.2">
      <c r="B54" t="s">
        <v>164</v>
      </c>
      <c r="C54" s="12">
        <v>19</v>
      </c>
      <c r="D54" s="8">
        <v>3.29</v>
      </c>
      <c r="E54" s="12">
        <v>19</v>
      </c>
      <c r="F54" s="8">
        <v>5.43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156</v>
      </c>
      <c r="C55" s="12">
        <v>11</v>
      </c>
      <c r="D55" s="8">
        <v>1.9</v>
      </c>
      <c r="E55" s="12">
        <v>4</v>
      </c>
      <c r="F55" s="8">
        <v>1.1399999999999999</v>
      </c>
      <c r="G55" s="12">
        <v>7</v>
      </c>
      <c r="H55" s="8">
        <v>3.2</v>
      </c>
      <c r="I55" s="12">
        <v>0</v>
      </c>
    </row>
    <row r="56" spans="2:9" ht="15" customHeight="1" x14ac:dyDescent="0.2">
      <c r="B56" t="s">
        <v>158</v>
      </c>
      <c r="C56" s="12">
        <v>11</v>
      </c>
      <c r="D56" s="8">
        <v>1.9</v>
      </c>
      <c r="E56" s="12">
        <v>7</v>
      </c>
      <c r="F56" s="8">
        <v>2</v>
      </c>
      <c r="G56" s="12">
        <v>4</v>
      </c>
      <c r="H56" s="8">
        <v>1.83</v>
      </c>
      <c r="I56" s="12">
        <v>0</v>
      </c>
    </row>
    <row r="57" spans="2:9" ht="15" customHeight="1" x14ac:dyDescent="0.2">
      <c r="B57" t="s">
        <v>179</v>
      </c>
      <c r="C57" s="12">
        <v>10</v>
      </c>
      <c r="D57" s="8">
        <v>1.73</v>
      </c>
      <c r="E57" s="12">
        <v>7</v>
      </c>
      <c r="F57" s="8">
        <v>2</v>
      </c>
      <c r="G57" s="12">
        <v>3</v>
      </c>
      <c r="H57" s="8">
        <v>1.37</v>
      </c>
      <c r="I57" s="12">
        <v>0</v>
      </c>
    </row>
    <row r="58" spans="2:9" ht="15" customHeight="1" x14ac:dyDescent="0.2">
      <c r="B58" t="s">
        <v>162</v>
      </c>
      <c r="C58" s="12">
        <v>9</v>
      </c>
      <c r="D58" s="8">
        <v>1.56</v>
      </c>
      <c r="E58" s="12">
        <v>7</v>
      </c>
      <c r="F58" s="8">
        <v>2</v>
      </c>
      <c r="G58" s="12">
        <v>2</v>
      </c>
      <c r="H58" s="8">
        <v>0.91</v>
      </c>
      <c r="I58" s="12">
        <v>0</v>
      </c>
    </row>
    <row r="59" spans="2:9" ht="15" customHeight="1" x14ac:dyDescent="0.2">
      <c r="B59" t="s">
        <v>191</v>
      </c>
      <c r="C59" s="12">
        <v>8</v>
      </c>
      <c r="D59" s="8">
        <v>1.38</v>
      </c>
      <c r="E59" s="12">
        <v>3</v>
      </c>
      <c r="F59" s="8">
        <v>0.86</v>
      </c>
      <c r="G59" s="12">
        <v>5</v>
      </c>
      <c r="H59" s="8">
        <v>2.2799999999999998</v>
      </c>
      <c r="I59" s="12">
        <v>0</v>
      </c>
    </row>
    <row r="60" spans="2:9" ht="15" customHeight="1" x14ac:dyDescent="0.2">
      <c r="B60" t="s">
        <v>182</v>
      </c>
      <c r="C60" s="12">
        <v>8</v>
      </c>
      <c r="D60" s="8">
        <v>1.38</v>
      </c>
      <c r="E60" s="12">
        <v>8</v>
      </c>
      <c r="F60" s="8">
        <v>2.29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166</v>
      </c>
      <c r="C61" s="12">
        <v>8</v>
      </c>
      <c r="D61" s="8">
        <v>1.38</v>
      </c>
      <c r="E61" s="12">
        <v>4</v>
      </c>
      <c r="F61" s="8">
        <v>1.1399999999999999</v>
      </c>
      <c r="G61" s="12">
        <v>4</v>
      </c>
      <c r="H61" s="8">
        <v>1.83</v>
      </c>
      <c r="I61" s="12">
        <v>0</v>
      </c>
    </row>
    <row r="62" spans="2:9" ht="15" customHeight="1" x14ac:dyDescent="0.2">
      <c r="B62" t="s">
        <v>230</v>
      </c>
      <c r="C62" s="12">
        <v>8</v>
      </c>
      <c r="D62" s="8">
        <v>1.38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169</v>
      </c>
      <c r="C63" s="12">
        <v>8</v>
      </c>
      <c r="D63" s="8">
        <v>1.38</v>
      </c>
      <c r="E63" s="12">
        <v>8</v>
      </c>
      <c r="F63" s="8">
        <v>2.29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197</v>
      </c>
      <c r="C64" s="12">
        <v>7</v>
      </c>
      <c r="D64" s="8">
        <v>1.21</v>
      </c>
      <c r="E64" s="12">
        <v>0</v>
      </c>
      <c r="F64" s="8">
        <v>0</v>
      </c>
      <c r="G64" s="12">
        <v>7</v>
      </c>
      <c r="H64" s="8">
        <v>3.2</v>
      </c>
      <c r="I64" s="12">
        <v>0</v>
      </c>
    </row>
    <row r="65" spans="2:9" ht="15" customHeight="1" x14ac:dyDescent="0.2">
      <c r="B65" t="s">
        <v>186</v>
      </c>
      <c r="C65" s="12">
        <v>7</v>
      </c>
      <c r="D65" s="8">
        <v>1.21</v>
      </c>
      <c r="E65" s="12">
        <v>5</v>
      </c>
      <c r="F65" s="8">
        <v>1.43</v>
      </c>
      <c r="G65" s="12">
        <v>2</v>
      </c>
      <c r="H65" s="8">
        <v>0.91</v>
      </c>
      <c r="I65" s="12">
        <v>0</v>
      </c>
    </row>
    <row r="66" spans="2:9" ht="15" customHeight="1" x14ac:dyDescent="0.2">
      <c r="B66" t="s">
        <v>157</v>
      </c>
      <c r="C66" s="12">
        <v>7</v>
      </c>
      <c r="D66" s="8">
        <v>1.21</v>
      </c>
      <c r="E66" s="12">
        <v>3</v>
      </c>
      <c r="F66" s="8">
        <v>0.86</v>
      </c>
      <c r="G66" s="12">
        <v>4</v>
      </c>
      <c r="H66" s="8">
        <v>1.83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C13C-53E8-4C67-8689-805BB01525C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339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117</v>
      </c>
      <c r="D6" s="8">
        <v>19.86</v>
      </c>
      <c r="E6" s="12">
        <v>14</v>
      </c>
      <c r="F6" s="8">
        <v>4.95</v>
      </c>
      <c r="G6" s="12">
        <v>103</v>
      </c>
      <c r="H6" s="8">
        <v>33.99</v>
      </c>
      <c r="I6" s="12">
        <v>0</v>
      </c>
    </row>
    <row r="7" spans="2:9" ht="15" customHeight="1" x14ac:dyDescent="0.2">
      <c r="B7" t="s">
        <v>73</v>
      </c>
      <c r="C7" s="12">
        <v>85</v>
      </c>
      <c r="D7" s="8">
        <v>14.43</v>
      </c>
      <c r="E7" s="12">
        <v>29</v>
      </c>
      <c r="F7" s="8">
        <v>10.25</v>
      </c>
      <c r="G7" s="12">
        <v>56</v>
      </c>
      <c r="H7" s="8">
        <v>18.48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0.33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0.34</v>
      </c>
      <c r="E9" s="12">
        <v>0</v>
      </c>
      <c r="F9" s="8">
        <v>0</v>
      </c>
      <c r="G9" s="12">
        <v>2</v>
      </c>
      <c r="H9" s="8">
        <v>0.66</v>
      </c>
      <c r="I9" s="12">
        <v>0</v>
      </c>
    </row>
    <row r="10" spans="2:9" ht="15" customHeight="1" x14ac:dyDescent="0.2">
      <c r="B10" t="s">
        <v>76</v>
      </c>
      <c r="C10" s="12">
        <v>4</v>
      </c>
      <c r="D10" s="8">
        <v>0.68</v>
      </c>
      <c r="E10" s="12">
        <v>1</v>
      </c>
      <c r="F10" s="8">
        <v>0.35</v>
      </c>
      <c r="G10" s="12">
        <v>3</v>
      </c>
      <c r="H10" s="8">
        <v>0.99</v>
      </c>
      <c r="I10" s="12">
        <v>0</v>
      </c>
    </row>
    <row r="11" spans="2:9" ht="15" customHeight="1" x14ac:dyDescent="0.2">
      <c r="B11" t="s">
        <v>77</v>
      </c>
      <c r="C11" s="12">
        <v>94</v>
      </c>
      <c r="D11" s="8">
        <v>15.96</v>
      </c>
      <c r="E11" s="12">
        <v>41</v>
      </c>
      <c r="F11" s="8">
        <v>14.49</v>
      </c>
      <c r="G11" s="12">
        <v>53</v>
      </c>
      <c r="H11" s="8">
        <v>17.489999999999998</v>
      </c>
      <c r="I11" s="12">
        <v>0</v>
      </c>
    </row>
    <row r="12" spans="2:9" ht="15" customHeight="1" x14ac:dyDescent="0.2">
      <c r="B12" t="s">
        <v>78</v>
      </c>
      <c r="C12" s="12">
        <v>3</v>
      </c>
      <c r="D12" s="8">
        <v>0.51</v>
      </c>
      <c r="E12" s="12">
        <v>0</v>
      </c>
      <c r="F12" s="8">
        <v>0</v>
      </c>
      <c r="G12" s="12">
        <v>3</v>
      </c>
      <c r="H12" s="8">
        <v>0.99</v>
      </c>
      <c r="I12" s="12">
        <v>0</v>
      </c>
    </row>
    <row r="13" spans="2:9" ht="15" customHeight="1" x14ac:dyDescent="0.2">
      <c r="B13" t="s">
        <v>79</v>
      </c>
      <c r="C13" s="12">
        <v>104</v>
      </c>
      <c r="D13" s="8">
        <v>17.66</v>
      </c>
      <c r="E13" s="12">
        <v>71</v>
      </c>
      <c r="F13" s="8">
        <v>25.09</v>
      </c>
      <c r="G13" s="12">
        <v>33</v>
      </c>
      <c r="H13" s="8">
        <v>10.89</v>
      </c>
      <c r="I13" s="12">
        <v>0</v>
      </c>
    </row>
    <row r="14" spans="2:9" ht="15" customHeight="1" x14ac:dyDescent="0.2">
      <c r="B14" t="s">
        <v>80</v>
      </c>
      <c r="C14" s="12">
        <v>19</v>
      </c>
      <c r="D14" s="8">
        <v>3.23</v>
      </c>
      <c r="E14" s="12">
        <v>8</v>
      </c>
      <c r="F14" s="8">
        <v>2.83</v>
      </c>
      <c r="G14" s="12">
        <v>11</v>
      </c>
      <c r="H14" s="8">
        <v>3.63</v>
      </c>
      <c r="I14" s="12">
        <v>0</v>
      </c>
    </row>
    <row r="15" spans="2:9" ht="15" customHeight="1" x14ac:dyDescent="0.2">
      <c r="B15" t="s">
        <v>81</v>
      </c>
      <c r="C15" s="12">
        <v>48</v>
      </c>
      <c r="D15" s="8">
        <v>8.15</v>
      </c>
      <c r="E15" s="12">
        <v>43</v>
      </c>
      <c r="F15" s="8">
        <v>15.19</v>
      </c>
      <c r="G15" s="12">
        <v>5</v>
      </c>
      <c r="H15" s="8">
        <v>1.65</v>
      </c>
      <c r="I15" s="12">
        <v>0</v>
      </c>
    </row>
    <row r="16" spans="2:9" ht="15" customHeight="1" x14ac:dyDescent="0.2">
      <c r="B16" t="s">
        <v>82</v>
      </c>
      <c r="C16" s="12">
        <v>51</v>
      </c>
      <c r="D16" s="8">
        <v>8.66</v>
      </c>
      <c r="E16" s="12">
        <v>40</v>
      </c>
      <c r="F16" s="8">
        <v>14.13</v>
      </c>
      <c r="G16" s="12">
        <v>11</v>
      </c>
      <c r="H16" s="8">
        <v>3.63</v>
      </c>
      <c r="I16" s="12">
        <v>0</v>
      </c>
    </row>
    <row r="17" spans="2:9" ht="15" customHeight="1" x14ac:dyDescent="0.2">
      <c r="B17" t="s">
        <v>83</v>
      </c>
      <c r="C17" s="12">
        <v>28</v>
      </c>
      <c r="D17" s="8">
        <v>4.75</v>
      </c>
      <c r="E17" s="12">
        <v>20</v>
      </c>
      <c r="F17" s="8">
        <v>7.07</v>
      </c>
      <c r="G17" s="12">
        <v>5</v>
      </c>
      <c r="H17" s="8">
        <v>1.65</v>
      </c>
      <c r="I17" s="12">
        <v>2</v>
      </c>
    </row>
    <row r="18" spans="2:9" ht="15" customHeight="1" x14ac:dyDescent="0.2">
      <c r="B18" t="s">
        <v>84</v>
      </c>
      <c r="C18" s="12">
        <v>14</v>
      </c>
      <c r="D18" s="8">
        <v>2.38</v>
      </c>
      <c r="E18" s="12">
        <v>7</v>
      </c>
      <c r="F18" s="8">
        <v>2.4700000000000002</v>
      </c>
      <c r="G18" s="12">
        <v>7</v>
      </c>
      <c r="H18" s="8">
        <v>2.31</v>
      </c>
      <c r="I18" s="12">
        <v>0</v>
      </c>
    </row>
    <row r="19" spans="2:9" ht="15" customHeight="1" x14ac:dyDescent="0.2">
      <c r="B19" t="s">
        <v>85</v>
      </c>
      <c r="C19" s="12">
        <v>19</v>
      </c>
      <c r="D19" s="8">
        <v>3.23</v>
      </c>
      <c r="E19" s="12">
        <v>9</v>
      </c>
      <c r="F19" s="8">
        <v>3.18</v>
      </c>
      <c r="G19" s="12">
        <v>10</v>
      </c>
      <c r="H19" s="8">
        <v>3.3</v>
      </c>
      <c r="I19" s="12">
        <v>0</v>
      </c>
    </row>
    <row r="20" spans="2:9" ht="15" customHeight="1" x14ac:dyDescent="0.2">
      <c r="B20" s="9" t="s">
        <v>277</v>
      </c>
      <c r="C20" s="12">
        <f>SUM(LTBL_23424[総数／事業所数])</f>
        <v>589</v>
      </c>
      <c r="E20" s="12">
        <f>SUBTOTAL(109,LTBL_23424[個人／事業所数])</f>
        <v>283</v>
      </c>
      <c r="G20" s="12">
        <f>SUBTOTAL(109,LTBL_23424[法人／事業所数])</f>
        <v>303</v>
      </c>
      <c r="I20" s="12">
        <f>SUBTOTAL(109,LTBL_23424[法人以外の団体／事業所数])</f>
        <v>2</v>
      </c>
    </row>
    <row r="21" spans="2:9" ht="15" customHeight="1" x14ac:dyDescent="0.2">
      <c r="E21" s="11">
        <f>LTBL_23424[[#Totals],[個人／事業所数]]/LTBL_23424[[#Totals],[総数／事業所数]]</f>
        <v>0.48047538200339557</v>
      </c>
      <c r="G21" s="11">
        <f>LTBL_23424[[#Totals],[法人／事業所数]]/LTBL_23424[[#Totals],[総数／事業所数]]</f>
        <v>0.51443123938879454</v>
      </c>
      <c r="I21" s="11">
        <f>LTBL_23424[[#Totals],[法人以外の団体／事業所数]]/LTBL_23424[[#Totals],[総数／事業所数]]</f>
        <v>3.3955857385398981E-3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95</v>
      </c>
      <c r="D24" s="8">
        <v>16.13</v>
      </c>
      <c r="E24" s="12">
        <v>68</v>
      </c>
      <c r="F24" s="8">
        <v>24.03</v>
      </c>
      <c r="G24" s="12">
        <v>27</v>
      </c>
      <c r="H24" s="8">
        <v>8.91</v>
      </c>
      <c r="I24" s="12">
        <v>0</v>
      </c>
    </row>
    <row r="25" spans="2:9" ht="15" customHeight="1" x14ac:dyDescent="0.2">
      <c r="B25" t="s">
        <v>96</v>
      </c>
      <c r="C25" s="12">
        <v>44</v>
      </c>
      <c r="D25" s="8">
        <v>7.47</v>
      </c>
      <c r="E25" s="12">
        <v>1</v>
      </c>
      <c r="F25" s="8">
        <v>0.35</v>
      </c>
      <c r="G25" s="12">
        <v>43</v>
      </c>
      <c r="H25" s="8">
        <v>14.19</v>
      </c>
      <c r="I25" s="12">
        <v>0</v>
      </c>
    </row>
    <row r="26" spans="2:9" ht="15" customHeight="1" x14ac:dyDescent="0.2">
      <c r="B26" t="s">
        <v>110</v>
      </c>
      <c r="C26" s="12">
        <v>44</v>
      </c>
      <c r="D26" s="8">
        <v>7.47</v>
      </c>
      <c r="E26" s="12">
        <v>41</v>
      </c>
      <c r="F26" s="8">
        <v>14.49</v>
      </c>
      <c r="G26" s="12">
        <v>3</v>
      </c>
      <c r="H26" s="8">
        <v>0.99</v>
      </c>
      <c r="I26" s="12">
        <v>0</v>
      </c>
    </row>
    <row r="27" spans="2:9" ht="15" customHeight="1" x14ac:dyDescent="0.2">
      <c r="B27" t="s">
        <v>111</v>
      </c>
      <c r="C27" s="12">
        <v>44</v>
      </c>
      <c r="D27" s="8">
        <v>7.47</v>
      </c>
      <c r="E27" s="12">
        <v>36</v>
      </c>
      <c r="F27" s="8">
        <v>12.72</v>
      </c>
      <c r="G27" s="12">
        <v>8</v>
      </c>
      <c r="H27" s="8">
        <v>2.64</v>
      </c>
      <c r="I27" s="12">
        <v>0</v>
      </c>
    </row>
    <row r="28" spans="2:9" ht="15" customHeight="1" x14ac:dyDescent="0.2">
      <c r="B28" t="s">
        <v>95</v>
      </c>
      <c r="C28" s="12">
        <v>41</v>
      </c>
      <c r="D28" s="8">
        <v>6.96</v>
      </c>
      <c r="E28" s="12">
        <v>6</v>
      </c>
      <c r="F28" s="8">
        <v>2.12</v>
      </c>
      <c r="G28" s="12">
        <v>35</v>
      </c>
      <c r="H28" s="8">
        <v>11.55</v>
      </c>
      <c r="I28" s="12">
        <v>0</v>
      </c>
    </row>
    <row r="29" spans="2:9" ht="15" customHeight="1" x14ac:dyDescent="0.2">
      <c r="B29" t="s">
        <v>94</v>
      </c>
      <c r="C29" s="12">
        <v>32</v>
      </c>
      <c r="D29" s="8">
        <v>5.43</v>
      </c>
      <c r="E29" s="12">
        <v>7</v>
      </c>
      <c r="F29" s="8">
        <v>2.4700000000000002</v>
      </c>
      <c r="G29" s="12">
        <v>25</v>
      </c>
      <c r="H29" s="8">
        <v>8.25</v>
      </c>
      <c r="I29" s="12">
        <v>0</v>
      </c>
    </row>
    <row r="30" spans="2:9" ht="15" customHeight="1" x14ac:dyDescent="0.2">
      <c r="B30" t="s">
        <v>112</v>
      </c>
      <c r="C30" s="12">
        <v>28</v>
      </c>
      <c r="D30" s="8">
        <v>4.75</v>
      </c>
      <c r="E30" s="12">
        <v>20</v>
      </c>
      <c r="F30" s="8">
        <v>7.07</v>
      </c>
      <c r="G30" s="12">
        <v>5</v>
      </c>
      <c r="H30" s="8">
        <v>1.65</v>
      </c>
      <c r="I30" s="12">
        <v>2</v>
      </c>
    </row>
    <row r="31" spans="2:9" ht="15" customHeight="1" x14ac:dyDescent="0.2">
      <c r="B31" t="s">
        <v>105</v>
      </c>
      <c r="C31" s="12">
        <v>22</v>
      </c>
      <c r="D31" s="8">
        <v>3.74</v>
      </c>
      <c r="E31" s="12">
        <v>15</v>
      </c>
      <c r="F31" s="8">
        <v>5.3</v>
      </c>
      <c r="G31" s="12">
        <v>7</v>
      </c>
      <c r="H31" s="8">
        <v>2.31</v>
      </c>
      <c r="I31" s="12">
        <v>0</v>
      </c>
    </row>
    <row r="32" spans="2:9" ht="15" customHeight="1" x14ac:dyDescent="0.2">
      <c r="B32" t="s">
        <v>98</v>
      </c>
      <c r="C32" s="12">
        <v>13</v>
      </c>
      <c r="D32" s="8">
        <v>2.21</v>
      </c>
      <c r="E32" s="12">
        <v>3</v>
      </c>
      <c r="F32" s="8">
        <v>1.06</v>
      </c>
      <c r="G32" s="12">
        <v>10</v>
      </c>
      <c r="H32" s="8">
        <v>3.3</v>
      </c>
      <c r="I32" s="12">
        <v>0</v>
      </c>
    </row>
    <row r="33" spans="2:9" ht="15" customHeight="1" x14ac:dyDescent="0.2">
      <c r="B33" t="s">
        <v>100</v>
      </c>
      <c r="C33" s="12">
        <v>13</v>
      </c>
      <c r="D33" s="8">
        <v>2.21</v>
      </c>
      <c r="E33" s="12">
        <v>1</v>
      </c>
      <c r="F33" s="8">
        <v>0.35</v>
      </c>
      <c r="G33" s="12">
        <v>12</v>
      </c>
      <c r="H33" s="8">
        <v>3.96</v>
      </c>
      <c r="I33" s="12">
        <v>0</v>
      </c>
    </row>
    <row r="34" spans="2:9" ht="15" customHeight="1" x14ac:dyDescent="0.2">
      <c r="B34" t="s">
        <v>104</v>
      </c>
      <c r="C34" s="12">
        <v>13</v>
      </c>
      <c r="D34" s="8">
        <v>2.21</v>
      </c>
      <c r="E34" s="12">
        <v>10</v>
      </c>
      <c r="F34" s="8">
        <v>3.53</v>
      </c>
      <c r="G34" s="12">
        <v>3</v>
      </c>
      <c r="H34" s="8">
        <v>0.99</v>
      </c>
      <c r="I34" s="12">
        <v>0</v>
      </c>
    </row>
    <row r="35" spans="2:9" ht="15" customHeight="1" x14ac:dyDescent="0.2">
      <c r="B35" t="s">
        <v>97</v>
      </c>
      <c r="C35" s="12">
        <v>12</v>
      </c>
      <c r="D35" s="8">
        <v>2.04</v>
      </c>
      <c r="E35" s="12">
        <v>6</v>
      </c>
      <c r="F35" s="8">
        <v>2.12</v>
      </c>
      <c r="G35" s="12">
        <v>6</v>
      </c>
      <c r="H35" s="8">
        <v>1.98</v>
      </c>
      <c r="I35" s="12">
        <v>0</v>
      </c>
    </row>
    <row r="36" spans="2:9" ht="15" customHeight="1" x14ac:dyDescent="0.2">
      <c r="B36" t="s">
        <v>101</v>
      </c>
      <c r="C36" s="12">
        <v>12</v>
      </c>
      <c r="D36" s="8">
        <v>2.04</v>
      </c>
      <c r="E36" s="12">
        <v>2</v>
      </c>
      <c r="F36" s="8">
        <v>0.71</v>
      </c>
      <c r="G36" s="12">
        <v>10</v>
      </c>
      <c r="H36" s="8">
        <v>3.3</v>
      </c>
      <c r="I36" s="12">
        <v>0</v>
      </c>
    </row>
    <row r="37" spans="2:9" ht="15" customHeight="1" x14ac:dyDescent="0.2">
      <c r="B37" t="s">
        <v>125</v>
      </c>
      <c r="C37" s="12">
        <v>10</v>
      </c>
      <c r="D37" s="8">
        <v>1.7</v>
      </c>
      <c r="E37" s="12">
        <v>6</v>
      </c>
      <c r="F37" s="8">
        <v>2.12</v>
      </c>
      <c r="G37" s="12">
        <v>4</v>
      </c>
      <c r="H37" s="8">
        <v>1.32</v>
      </c>
      <c r="I37" s="12">
        <v>0</v>
      </c>
    </row>
    <row r="38" spans="2:9" ht="15" customHeight="1" x14ac:dyDescent="0.2">
      <c r="B38" t="s">
        <v>108</v>
      </c>
      <c r="C38" s="12">
        <v>10</v>
      </c>
      <c r="D38" s="8">
        <v>1.7</v>
      </c>
      <c r="E38" s="12">
        <v>5</v>
      </c>
      <c r="F38" s="8">
        <v>1.77</v>
      </c>
      <c r="G38" s="12">
        <v>5</v>
      </c>
      <c r="H38" s="8">
        <v>1.65</v>
      </c>
      <c r="I38" s="12">
        <v>0</v>
      </c>
    </row>
    <row r="39" spans="2:9" ht="15" customHeight="1" x14ac:dyDescent="0.2">
      <c r="B39" t="s">
        <v>103</v>
      </c>
      <c r="C39" s="12">
        <v>9</v>
      </c>
      <c r="D39" s="8">
        <v>1.53</v>
      </c>
      <c r="E39" s="12">
        <v>6</v>
      </c>
      <c r="F39" s="8">
        <v>2.12</v>
      </c>
      <c r="G39" s="12">
        <v>3</v>
      </c>
      <c r="H39" s="8">
        <v>0.99</v>
      </c>
      <c r="I39" s="12">
        <v>0</v>
      </c>
    </row>
    <row r="40" spans="2:9" ht="15" customHeight="1" x14ac:dyDescent="0.2">
      <c r="B40" t="s">
        <v>106</v>
      </c>
      <c r="C40" s="12">
        <v>9</v>
      </c>
      <c r="D40" s="8">
        <v>1.53</v>
      </c>
      <c r="E40" s="12">
        <v>3</v>
      </c>
      <c r="F40" s="8">
        <v>1.06</v>
      </c>
      <c r="G40" s="12">
        <v>6</v>
      </c>
      <c r="H40" s="8">
        <v>1.98</v>
      </c>
      <c r="I40" s="12">
        <v>0</v>
      </c>
    </row>
    <row r="41" spans="2:9" ht="15" customHeight="1" x14ac:dyDescent="0.2">
      <c r="B41" t="s">
        <v>122</v>
      </c>
      <c r="C41" s="12">
        <v>9</v>
      </c>
      <c r="D41" s="8">
        <v>1.53</v>
      </c>
      <c r="E41" s="12">
        <v>6</v>
      </c>
      <c r="F41" s="8">
        <v>2.12</v>
      </c>
      <c r="G41" s="12">
        <v>3</v>
      </c>
      <c r="H41" s="8">
        <v>0.99</v>
      </c>
      <c r="I41" s="12">
        <v>0</v>
      </c>
    </row>
    <row r="42" spans="2:9" ht="15" customHeight="1" x14ac:dyDescent="0.2">
      <c r="B42" t="s">
        <v>99</v>
      </c>
      <c r="C42" s="12">
        <v>8</v>
      </c>
      <c r="D42" s="8">
        <v>1.36</v>
      </c>
      <c r="E42" s="12">
        <v>1</v>
      </c>
      <c r="F42" s="8">
        <v>0.35</v>
      </c>
      <c r="G42" s="12">
        <v>7</v>
      </c>
      <c r="H42" s="8">
        <v>2.31</v>
      </c>
      <c r="I42" s="12">
        <v>0</v>
      </c>
    </row>
    <row r="43" spans="2:9" ht="15" customHeight="1" x14ac:dyDescent="0.2">
      <c r="B43" t="s">
        <v>109</v>
      </c>
      <c r="C43" s="12">
        <v>8</v>
      </c>
      <c r="D43" s="8">
        <v>1.36</v>
      </c>
      <c r="E43" s="12">
        <v>3</v>
      </c>
      <c r="F43" s="8">
        <v>1.06</v>
      </c>
      <c r="G43" s="12">
        <v>5</v>
      </c>
      <c r="H43" s="8">
        <v>1.65</v>
      </c>
      <c r="I43" s="12">
        <v>0</v>
      </c>
    </row>
    <row r="44" spans="2:9" ht="15" customHeight="1" x14ac:dyDescent="0.2">
      <c r="B44" t="s">
        <v>113</v>
      </c>
      <c r="C44" s="12">
        <v>8</v>
      </c>
      <c r="D44" s="8">
        <v>1.36</v>
      </c>
      <c r="E44" s="12">
        <v>7</v>
      </c>
      <c r="F44" s="8">
        <v>2.4700000000000002</v>
      </c>
      <c r="G44" s="12">
        <v>1</v>
      </c>
      <c r="H44" s="8">
        <v>0.33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161</v>
      </c>
      <c r="C48" s="12">
        <v>70</v>
      </c>
      <c r="D48" s="8">
        <v>11.88</v>
      </c>
      <c r="E48" s="12">
        <v>57</v>
      </c>
      <c r="F48" s="8">
        <v>20.14</v>
      </c>
      <c r="G48" s="12">
        <v>13</v>
      </c>
      <c r="H48" s="8">
        <v>4.29</v>
      </c>
      <c r="I48" s="12">
        <v>0</v>
      </c>
    </row>
    <row r="49" spans="2:9" ht="15" customHeight="1" x14ac:dyDescent="0.2">
      <c r="B49" t="s">
        <v>154</v>
      </c>
      <c r="C49" s="12">
        <v>19</v>
      </c>
      <c r="D49" s="8">
        <v>3.23</v>
      </c>
      <c r="E49" s="12">
        <v>1</v>
      </c>
      <c r="F49" s="8">
        <v>0.35</v>
      </c>
      <c r="G49" s="12">
        <v>18</v>
      </c>
      <c r="H49" s="8">
        <v>5.94</v>
      </c>
      <c r="I49" s="12">
        <v>0</v>
      </c>
    </row>
    <row r="50" spans="2:9" ht="15" customHeight="1" x14ac:dyDescent="0.2">
      <c r="B50" t="s">
        <v>168</v>
      </c>
      <c r="C50" s="12">
        <v>18</v>
      </c>
      <c r="D50" s="8">
        <v>3.06</v>
      </c>
      <c r="E50" s="12">
        <v>15</v>
      </c>
      <c r="F50" s="8">
        <v>5.3</v>
      </c>
      <c r="G50" s="12">
        <v>3</v>
      </c>
      <c r="H50" s="8">
        <v>0.99</v>
      </c>
      <c r="I50" s="12">
        <v>0</v>
      </c>
    </row>
    <row r="51" spans="2:9" ht="15" customHeight="1" x14ac:dyDescent="0.2">
      <c r="B51" t="s">
        <v>170</v>
      </c>
      <c r="C51" s="12">
        <v>17</v>
      </c>
      <c r="D51" s="8">
        <v>2.89</v>
      </c>
      <c r="E51" s="12">
        <v>13</v>
      </c>
      <c r="F51" s="8">
        <v>4.59</v>
      </c>
      <c r="G51" s="12">
        <v>2</v>
      </c>
      <c r="H51" s="8">
        <v>0.66</v>
      </c>
      <c r="I51" s="12">
        <v>2</v>
      </c>
    </row>
    <row r="52" spans="2:9" ht="15" customHeight="1" x14ac:dyDescent="0.2">
      <c r="B52" t="s">
        <v>165</v>
      </c>
      <c r="C52" s="12">
        <v>14</v>
      </c>
      <c r="D52" s="8">
        <v>2.38</v>
      </c>
      <c r="E52" s="12">
        <v>13</v>
      </c>
      <c r="F52" s="8">
        <v>4.59</v>
      </c>
      <c r="G52" s="12">
        <v>1</v>
      </c>
      <c r="H52" s="8">
        <v>0.33</v>
      </c>
      <c r="I52" s="12">
        <v>0</v>
      </c>
    </row>
    <row r="53" spans="2:9" ht="15" customHeight="1" x14ac:dyDescent="0.2">
      <c r="B53" t="s">
        <v>160</v>
      </c>
      <c r="C53" s="12">
        <v>13</v>
      </c>
      <c r="D53" s="8">
        <v>2.21</v>
      </c>
      <c r="E53" s="12">
        <v>6</v>
      </c>
      <c r="F53" s="8">
        <v>2.12</v>
      </c>
      <c r="G53" s="12">
        <v>7</v>
      </c>
      <c r="H53" s="8">
        <v>2.31</v>
      </c>
      <c r="I53" s="12">
        <v>0</v>
      </c>
    </row>
    <row r="54" spans="2:9" ht="15" customHeight="1" x14ac:dyDescent="0.2">
      <c r="B54" t="s">
        <v>184</v>
      </c>
      <c r="C54" s="12">
        <v>12</v>
      </c>
      <c r="D54" s="8">
        <v>2.04</v>
      </c>
      <c r="E54" s="12">
        <v>1</v>
      </c>
      <c r="F54" s="8">
        <v>0.35</v>
      </c>
      <c r="G54" s="12">
        <v>11</v>
      </c>
      <c r="H54" s="8">
        <v>3.63</v>
      </c>
      <c r="I54" s="12">
        <v>0</v>
      </c>
    </row>
    <row r="55" spans="2:9" ht="15" customHeight="1" x14ac:dyDescent="0.2">
      <c r="B55" t="s">
        <v>164</v>
      </c>
      <c r="C55" s="12">
        <v>12</v>
      </c>
      <c r="D55" s="8">
        <v>2.04</v>
      </c>
      <c r="E55" s="12">
        <v>12</v>
      </c>
      <c r="F55" s="8">
        <v>4.24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167</v>
      </c>
      <c r="C56" s="12">
        <v>12</v>
      </c>
      <c r="D56" s="8">
        <v>2.04</v>
      </c>
      <c r="E56" s="12">
        <v>12</v>
      </c>
      <c r="F56" s="8">
        <v>4.24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155</v>
      </c>
      <c r="C57" s="12">
        <v>11</v>
      </c>
      <c r="D57" s="8">
        <v>1.87</v>
      </c>
      <c r="E57" s="12">
        <v>0</v>
      </c>
      <c r="F57" s="8">
        <v>0</v>
      </c>
      <c r="G57" s="12">
        <v>11</v>
      </c>
      <c r="H57" s="8">
        <v>3.63</v>
      </c>
      <c r="I57" s="12">
        <v>0</v>
      </c>
    </row>
    <row r="58" spans="2:9" ht="15" customHeight="1" x14ac:dyDescent="0.2">
      <c r="B58" t="s">
        <v>156</v>
      </c>
      <c r="C58" s="12">
        <v>11</v>
      </c>
      <c r="D58" s="8">
        <v>1.87</v>
      </c>
      <c r="E58" s="12">
        <v>8</v>
      </c>
      <c r="F58" s="8">
        <v>2.83</v>
      </c>
      <c r="G58" s="12">
        <v>3</v>
      </c>
      <c r="H58" s="8">
        <v>0.99</v>
      </c>
      <c r="I58" s="12">
        <v>0</v>
      </c>
    </row>
    <row r="59" spans="2:9" ht="15" customHeight="1" x14ac:dyDescent="0.2">
      <c r="B59" t="s">
        <v>166</v>
      </c>
      <c r="C59" s="12">
        <v>10</v>
      </c>
      <c r="D59" s="8">
        <v>1.7</v>
      </c>
      <c r="E59" s="12">
        <v>6</v>
      </c>
      <c r="F59" s="8">
        <v>2.12</v>
      </c>
      <c r="G59" s="12">
        <v>4</v>
      </c>
      <c r="H59" s="8">
        <v>1.32</v>
      </c>
      <c r="I59" s="12">
        <v>0</v>
      </c>
    </row>
    <row r="60" spans="2:9" ht="15" customHeight="1" x14ac:dyDescent="0.2">
      <c r="B60" t="s">
        <v>152</v>
      </c>
      <c r="C60" s="12">
        <v>9</v>
      </c>
      <c r="D60" s="8">
        <v>1.53</v>
      </c>
      <c r="E60" s="12">
        <v>2</v>
      </c>
      <c r="F60" s="8">
        <v>0.71</v>
      </c>
      <c r="G60" s="12">
        <v>7</v>
      </c>
      <c r="H60" s="8">
        <v>2.31</v>
      </c>
      <c r="I60" s="12">
        <v>0</v>
      </c>
    </row>
    <row r="61" spans="2:9" ht="15" customHeight="1" x14ac:dyDescent="0.2">
      <c r="B61" t="s">
        <v>199</v>
      </c>
      <c r="C61" s="12">
        <v>9</v>
      </c>
      <c r="D61" s="8">
        <v>1.53</v>
      </c>
      <c r="E61" s="12">
        <v>0</v>
      </c>
      <c r="F61" s="8">
        <v>0</v>
      </c>
      <c r="G61" s="12">
        <v>9</v>
      </c>
      <c r="H61" s="8">
        <v>2.97</v>
      </c>
      <c r="I61" s="12">
        <v>0</v>
      </c>
    </row>
    <row r="62" spans="2:9" ht="15" customHeight="1" x14ac:dyDescent="0.2">
      <c r="B62" t="s">
        <v>169</v>
      </c>
      <c r="C62" s="12">
        <v>9</v>
      </c>
      <c r="D62" s="8">
        <v>1.53</v>
      </c>
      <c r="E62" s="12">
        <v>7</v>
      </c>
      <c r="F62" s="8">
        <v>2.4700000000000002</v>
      </c>
      <c r="G62" s="12">
        <v>2</v>
      </c>
      <c r="H62" s="8">
        <v>0.66</v>
      </c>
      <c r="I62" s="12">
        <v>0</v>
      </c>
    </row>
    <row r="63" spans="2:9" ht="15" customHeight="1" x14ac:dyDescent="0.2">
      <c r="B63" t="s">
        <v>188</v>
      </c>
      <c r="C63" s="12">
        <v>9</v>
      </c>
      <c r="D63" s="8">
        <v>1.53</v>
      </c>
      <c r="E63" s="12">
        <v>6</v>
      </c>
      <c r="F63" s="8">
        <v>2.12</v>
      </c>
      <c r="G63" s="12">
        <v>3</v>
      </c>
      <c r="H63" s="8">
        <v>0.99</v>
      </c>
      <c r="I63" s="12">
        <v>0</v>
      </c>
    </row>
    <row r="64" spans="2:9" ht="15" customHeight="1" x14ac:dyDescent="0.2">
      <c r="B64" t="s">
        <v>231</v>
      </c>
      <c r="C64" s="12">
        <v>8</v>
      </c>
      <c r="D64" s="8">
        <v>1.36</v>
      </c>
      <c r="E64" s="12">
        <v>0</v>
      </c>
      <c r="F64" s="8">
        <v>0</v>
      </c>
      <c r="G64" s="12">
        <v>8</v>
      </c>
      <c r="H64" s="8">
        <v>2.64</v>
      </c>
      <c r="I64" s="12">
        <v>0</v>
      </c>
    </row>
    <row r="65" spans="2:9" ht="15" customHeight="1" x14ac:dyDescent="0.2">
      <c r="B65" t="s">
        <v>157</v>
      </c>
      <c r="C65" s="12">
        <v>8</v>
      </c>
      <c r="D65" s="8">
        <v>1.36</v>
      </c>
      <c r="E65" s="12">
        <v>3</v>
      </c>
      <c r="F65" s="8">
        <v>1.06</v>
      </c>
      <c r="G65" s="12">
        <v>5</v>
      </c>
      <c r="H65" s="8">
        <v>1.65</v>
      </c>
      <c r="I65" s="12">
        <v>0</v>
      </c>
    </row>
    <row r="66" spans="2:9" ht="15" customHeight="1" x14ac:dyDescent="0.2">
      <c r="B66" t="s">
        <v>158</v>
      </c>
      <c r="C66" s="12">
        <v>8</v>
      </c>
      <c r="D66" s="8">
        <v>1.36</v>
      </c>
      <c r="E66" s="12">
        <v>8</v>
      </c>
      <c r="F66" s="8">
        <v>2.83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176</v>
      </c>
      <c r="C67" s="12">
        <v>8</v>
      </c>
      <c r="D67" s="8">
        <v>1.36</v>
      </c>
      <c r="E67" s="12">
        <v>8</v>
      </c>
      <c r="F67" s="8">
        <v>2.83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A4812-4BAC-46D2-9873-75705D74EC1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340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120</v>
      </c>
      <c r="D6" s="8">
        <v>13.95</v>
      </c>
      <c r="E6" s="12">
        <v>21</v>
      </c>
      <c r="F6" s="8">
        <v>5.0599999999999996</v>
      </c>
      <c r="G6" s="12">
        <v>99</v>
      </c>
      <c r="H6" s="8">
        <v>23.02</v>
      </c>
      <c r="I6" s="12">
        <v>0</v>
      </c>
    </row>
    <row r="7" spans="2:9" ht="15" customHeight="1" x14ac:dyDescent="0.2">
      <c r="B7" t="s">
        <v>73</v>
      </c>
      <c r="C7" s="12">
        <v>97</v>
      </c>
      <c r="D7" s="8">
        <v>11.28</v>
      </c>
      <c r="E7" s="12">
        <v>30</v>
      </c>
      <c r="F7" s="8">
        <v>7.23</v>
      </c>
      <c r="G7" s="12">
        <v>67</v>
      </c>
      <c r="H7" s="8">
        <v>15.58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0.23</v>
      </c>
      <c r="E8" s="12">
        <v>0</v>
      </c>
      <c r="F8" s="8">
        <v>0</v>
      </c>
      <c r="G8" s="12">
        <v>2</v>
      </c>
      <c r="H8" s="8">
        <v>0.47</v>
      </c>
      <c r="I8" s="12">
        <v>0</v>
      </c>
    </row>
    <row r="9" spans="2:9" ht="15" customHeight="1" x14ac:dyDescent="0.2">
      <c r="B9" t="s">
        <v>75</v>
      </c>
      <c r="C9" s="12">
        <v>10</v>
      </c>
      <c r="D9" s="8">
        <v>1.1599999999999999</v>
      </c>
      <c r="E9" s="12">
        <v>0</v>
      </c>
      <c r="F9" s="8">
        <v>0</v>
      </c>
      <c r="G9" s="12">
        <v>10</v>
      </c>
      <c r="H9" s="8">
        <v>2.33</v>
      </c>
      <c r="I9" s="12">
        <v>0</v>
      </c>
    </row>
    <row r="10" spans="2:9" ht="15" customHeight="1" x14ac:dyDescent="0.2">
      <c r="B10" t="s">
        <v>76</v>
      </c>
      <c r="C10" s="12">
        <v>11</v>
      </c>
      <c r="D10" s="8">
        <v>1.28</v>
      </c>
      <c r="E10" s="12">
        <v>0</v>
      </c>
      <c r="F10" s="8">
        <v>0</v>
      </c>
      <c r="G10" s="12">
        <v>11</v>
      </c>
      <c r="H10" s="8">
        <v>2.56</v>
      </c>
      <c r="I10" s="12">
        <v>0</v>
      </c>
    </row>
    <row r="11" spans="2:9" ht="15" customHeight="1" x14ac:dyDescent="0.2">
      <c r="B11" t="s">
        <v>77</v>
      </c>
      <c r="C11" s="12">
        <v>171</v>
      </c>
      <c r="D11" s="8">
        <v>19.88</v>
      </c>
      <c r="E11" s="12">
        <v>76</v>
      </c>
      <c r="F11" s="8">
        <v>18.309999999999999</v>
      </c>
      <c r="G11" s="12">
        <v>95</v>
      </c>
      <c r="H11" s="8">
        <v>22.09</v>
      </c>
      <c r="I11" s="12">
        <v>0</v>
      </c>
    </row>
    <row r="12" spans="2:9" ht="15" customHeight="1" x14ac:dyDescent="0.2">
      <c r="B12" t="s">
        <v>78</v>
      </c>
      <c r="C12" s="12">
        <v>2</v>
      </c>
      <c r="D12" s="8">
        <v>0.23</v>
      </c>
      <c r="E12" s="12">
        <v>0</v>
      </c>
      <c r="F12" s="8">
        <v>0</v>
      </c>
      <c r="G12" s="12">
        <v>2</v>
      </c>
      <c r="H12" s="8">
        <v>0.47</v>
      </c>
      <c r="I12" s="12">
        <v>0</v>
      </c>
    </row>
    <row r="13" spans="2:9" ht="15" customHeight="1" x14ac:dyDescent="0.2">
      <c r="B13" t="s">
        <v>79</v>
      </c>
      <c r="C13" s="12">
        <v>74</v>
      </c>
      <c r="D13" s="8">
        <v>8.6</v>
      </c>
      <c r="E13" s="12">
        <v>22</v>
      </c>
      <c r="F13" s="8">
        <v>5.3</v>
      </c>
      <c r="G13" s="12">
        <v>52</v>
      </c>
      <c r="H13" s="8">
        <v>12.09</v>
      </c>
      <c r="I13" s="12">
        <v>0</v>
      </c>
    </row>
    <row r="14" spans="2:9" ht="15" customHeight="1" x14ac:dyDescent="0.2">
      <c r="B14" t="s">
        <v>80</v>
      </c>
      <c r="C14" s="12">
        <v>41</v>
      </c>
      <c r="D14" s="8">
        <v>4.7699999999999996</v>
      </c>
      <c r="E14" s="12">
        <v>24</v>
      </c>
      <c r="F14" s="8">
        <v>5.78</v>
      </c>
      <c r="G14" s="12">
        <v>17</v>
      </c>
      <c r="H14" s="8">
        <v>3.95</v>
      </c>
      <c r="I14" s="12">
        <v>0</v>
      </c>
    </row>
    <row r="15" spans="2:9" ht="15" customHeight="1" x14ac:dyDescent="0.2">
      <c r="B15" t="s">
        <v>81</v>
      </c>
      <c r="C15" s="12">
        <v>115</v>
      </c>
      <c r="D15" s="8">
        <v>13.37</v>
      </c>
      <c r="E15" s="12">
        <v>99</v>
      </c>
      <c r="F15" s="8">
        <v>23.86</v>
      </c>
      <c r="G15" s="12">
        <v>16</v>
      </c>
      <c r="H15" s="8">
        <v>3.72</v>
      </c>
      <c r="I15" s="12">
        <v>0</v>
      </c>
    </row>
    <row r="16" spans="2:9" ht="15" customHeight="1" x14ac:dyDescent="0.2">
      <c r="B16" t="s">
        <v>82</v>
      </c>
      <c r="C16" s="12">
        <v>102</v>
      </c>
      <c r="D16" s="8">
        <v>11.86</v>
      </c>
      <c r="E16" s="12">
        <v>74</v>
      </c>
      <c r="F16" s="8">
        <v>17.829999999999998</v>
      </c>
      <c r="G16" s="12">
        <v>27</v>
      </c>
      <c r="H16" s="8">
        <v>6.28</v>
      </c>
      <c r="I16" s="12">
        <v>0</v>
      </c>
    </row>
    <row r="17" spans="2:9" ht="15" customHeight="1" x14ac:dyDescent="0.2">
      <c r="B17" t="s">
        <v>83</v>
      </c>
      <c r="C17" s="12">
        <v>46</v>
      </c>
      <c r="D17" s="8">
        <v>5.35</v>
      </c>
      <c r="E17" s="12">
        <v>29</v>
      </c>
      <c r="F17" s="8">
        <v>6.99</v>
      </c>
      <c r="G17" s="12">
        <v>14</v>
      </c>
      <c r="H17" s="8">
        <v>3.26</v>
      </c>
      <c r="I17" s="12">
        <v>0</v>
      </c>
    </row>
    <row r="18" spans="2:9" ht="15" customHeight="1" x14ac:dyDescent="0.2">
      <c r="B18" t="s">
        <v>84</v>
      </c>
      <c r="C18" s="12">
        <v>48</v>
      </c>
      <c r="D18" s="8">
        <v>5.58</v>
      </c>
      <c r="E18" s="12">
        <v>33</v>
      </c>
      <c r="F18" s="8">
        <v>7.95</v>
      </c>
      <c r="G18" s="12">
        <v>6</v>
      </c>
      <c r="H18" s="8">
        <v>1.4</v>
      </c>
      <c r="I18" s="12">
        <v>0</v>
      </c>
    </row>
    <row r="19" spans="2:9" ht="15" customHeight="1" x14ac:dyDescent="0.2">
      <c r="B19" t="s">
        <v>85</v>
      </c>
      <c r="C19" s="12">
        <v>21</v>
      </c>
      <c r="D19" s="8">
        <v>2.44</v>
      </c>
      <c r="E19" s="12">
        <v>7</v>
      </c>
      <c r="F19" s="8">
        <v>1.69</v>
      </c>
      <c r="G19" s="12">
        <v>12</v>
      </c>
      <c r="H19" s="8">
        <v>2.79</v>
      </c>
      <c r="I19" s="12">
        <v>0</v>
      </c>
    </row>
    <row r="20" spans="2:9" ht="15" customHeight="1" x14ac:dyDescent="0.2">
      <c r="B20" s="9" t="s">
        <v>277</v>
      </c>
      <c r="C20" s="12">
        <f>SUM(LTBL_23425[総数／事業所数])</f>
        <v>860</v>
      </c>
      <c r="E20" s="12">
        <f>SUBTOTAL(109,LTBL_23425[個人／事業所数])</f>
        <v>415</v>
      </c>
      <c r="G20" s="12">
        <f>SUBTOTAL(109,LTBL_23425[法人／事業所数])</f>
        <v>430</v>
      </c>
      <c r="I20" s="12">
        <f>SUBTOTAL(109,LTBL_23425[法人以外の団体／事業所数])</f>
        <v>0</v>
      </c>
    </row>
    <row r="21" spans="2:9" ht="15" customHeight="1" x14ac:dyDescent="0.2">
      <c r="E21" s="11">
        <f>LTBL_23425[[#Totals],[個人／事業所数]]/LTBL_23425[[#Totals],[総数／事業所数]]</f>
        <v>0.48255813953488375</v>
      </c>
      <c r="G21" s="11">
        <f>LTBL_23425[[#Totals],[法人／事業所数]]/LTBL_23425[[#Totals],[総数／事業所数]]</f>
        <v>0.5</v>
      </c>
      <c r="I21" s="11">
        <f>LTBL_23425[[#Totals],[法人以外の団体／事業所数]]/LTBL_23425[[#Totals],[総数／事業所数]]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108</v>
      </c>
      <c r="D24" s="8">
        <v>12.56</v>
      </c>
      <c r="E24" s="12">
        <v>95</v>
      </c>
      <c r="F24" s="8">
        <v>22.89</v>
      </c>
      <c r="G24" s="12">
        <v>13</v>
      </c>
      <c r="H24" s="8">
        <v>3.02</v>
      </c>
      <c r="I24" s="12">
        <v>0</v>
      </c>
    </row>
    <row r="25" spans="2:9" ht="15" customHeight="1" x14ac:dyDescent="0.2">
      <c r="B25" t="s">
        <v>111</v>
      </c>
      <c r="C25" s="12">
        <v>81</v>
      </c>
      <c r="D25" s="8">
        <v>9.42</v>
      </c>
      <c r="E25" s="12">
        <v>63</v>
      </c>
      <c r="F25" s="8">
        <v>15.18</v>
      </c>
      <c r="G25" s="12">
        <v>18</v>
      </c>
      <c r="H25" s="8">
        <v>4.1900000000000004</v>
      </c>
      <c r="I25" s="12">
        <v>0</v>
      </c>
    </row>
    <row r="26" spans="2:9" ht="15" customHeight="1" x14ac:dyDescent="0.2">
      <c r="B26" t="s">
        <v>107</v>
      </c>
      <c r="C26" s="12">
        <v>59</v>
      </c>
      <c r="D26" s="8">
        <v>6.86</v>
      </c>
      <c r="E26" s="12">
        <v>20</v>
      </c>
      <c r="F26" s="8">
        <v>4.82</v>
      </c>
      <c r="G26" s="12">
        <v>39</v>
      </c>
      <c r="H26" s="8">
        <v>9.07</v>
      </c>
      <c r="I26" s="12">
        <v>0</v>
      </c>
    </row>
    <row r="27" spans="2:9" ht="15" customHeight="1" x14ac:dyDescent="0.2">
      <c r="B27" t="s">
        <v>94</v>
      </c>
      <c r="C27" s="12">
        <v>58</v>
      </c>
      <c r="D27" s="8">
        <v>6.74</v>
      </c>
      <c r="E27" s="12">
        <v>6</v>
      </c>
      <c r="F27" s="8">
        <v>1.45</v>
      </c>
      <c r="G27" s="12">
        <v>52</v>
      </c>
      <c r="H27" s="8">
        <v>12.09</v>
      </c>
      <c r="I27" s="12">
        <v>0</v>
      </c>
    </row>
    <row r="28" spans="2:9" ht="15" customHeight="1" x14ac:dyDescent="0.2">
      <c r="B28" t="s">
        <v>105</v>
      </c>
      <c r="C28" s="12">
        <v>47</v>
      </c>
      <c r="D28" s="8">
        <v>5.47</v>
      </c>
      <c r="E28" s="12">
        <v>28</v>
      </c>
      <c r="F28" s="8">
        <v>6.75</v>
      </c>
      <c r="G28" s="12">
        <v>19</v>
      </c>
      <c r="H28" s="8">
        <v>4.42</v>
      </c>
      <c r="I28" s="12">
        <v>0</v>
      </c>
    </row>
    <row r="29" spans="2:9" ht="15" customHeight="1" x14ac:dyDescent="0.2">
      <c r="B29" t="s">
        <v>112</v>
      </c>
      <c r="C29" s="12">
        <v>46</v>
      </c>
      <c r="D29" s="8">
        <v>5.35</v>
      </c>
      <c r="E29" s="12">
        <v>29</v>
      </c>
      <c r="F29" s="8">
        <v>6.99</v>
      </c>
      <c r="G29" s="12">
        <v>14</v>
      </c>
      <c r="H29" s="8">
        <v>3.26</v>
      </c>
      <c r="I29" s="12">
        <v>0</v>
      </c>
    </row>
    <row r="30" spans="2:9" ht="15" customHeight="1" x14ac:dyDescent="0.2">
      <c r="B30" t="s">
        <v>113</v>
      </c>
      <c r="C30" s="12">
        <v>34</v>
      </c>
      <c r="D30" s="8">
        <v>3.95</v>
      </c>
      <c r="E30" s="12">
        <v>33</v>
      </c>
      <c r="F30" s="8">
        <v>7.95</v>
      </c>
      <c r="G30" s="12">
        <v>1</v>
      </c>
      <c r="H30" s="8">
        <v>0.23</v>
      </c>
      <c r="I30" s="12">
        <v>0</v>
      </c>
    </row>
    <row r="31" spans="2:9" ht="15" customHeight="1" x14ac:dyDescent="0.2">
      <c r="B31" t="s">
        <v>95</v>
      </c>
      <c r="C31" s="12">
        <v>31</v>
      </c>
      <c r="D31" s="8">
        <v>3.6</v>
      </c>
      <c r="E31" s="12">
        <v>10</v>
      </c>
      <c r="F31" s="8">
        <v>2.41</v>
      </c>
      <c r="G31" s="12">
        <v>21</v>
      </c>
      <c r="H31" s="8">
        <v>4.88</v>
      </c>
      <c r="I31" s="12">
        <v>0</v>
      </c>
    </row>
    <row r="32" spans="2:9" ht="15" customHeight="1" x14ac:dyDescent="0.2">
      <c r="B32" t="s">
        <v>96</v>
      </c>
      <c r="C32" s="12">
        <v>31</v>
      </c>
      <c r="D32" s="8">
        <v>3.6</v>
      </c>
      <c r="E32" s="12">
        <v>5</v>
      </c>
      <c r="F32" s="8">
        <v>1.2</v>
      </c>
      <c r="G32" s="12">
        <v>26</v>
      </c>
      <c r="H32" s="8">
        <v>6.05</v>
      </c>
      <c r="I32" s="12">
        <v>0</v>
      </c>
    </row>
    <row r="33" spans="2:9" ht="15" customHeight="1" x14ac:dyDescent="0.2">
      <c r="B33" t="s">
        <v>108</v>
      </c>
      <c r="C33" s="12">
        <v>27</v>
      </c>
      <c r="D33" s="8">
        <v>3.14</v>
      </c>
      <c r="E33" s="12">
        <v>20</v>
      </c>
      <c r="F33" s="8">
        <v>4.82</v>
      </c>
      <c r="G33" s="12">
        <v>7</v>
      </c>
      <c r="H33" s="8">
        <v>1.63</v>
      </c>
      <c r="I33" s="12">
        <v>0</v>
      </c>
    </row>
    <row r="34" spans="2:9" ht="15" customHeight="1" x14ac:dyDescent="0.2">
      <c r="B34" t="s">
        <v>102</v>
      </c>
      <c r="C34" s="12">
        <v>24</v>
      </c>
      <c r="D34" s="8">
        <v>2.79</v>
      </c>
      <c r="E34" s="12">
        <v>10</v>
      </c>
      <c r="F34" s="8">
        <v>2.41</v>
      </c>
      <c r="G34" s="12">
        <v>14</v>
      </c>
      <c r="H34" s="8">
        <v>3.26</v>
      </c>
      <c r="I34" s="12">
        <v>0</v>
      </c>
    </row>
    <row r="35" spans="2:9" ht="15" customHeight="1" x14ac:dyDescent="0.2">
      <c r="B35" t="s">
        <v>103</v>
      </c>
      <c r="C35" s="12">
        <v>23</v>
      </c>
      <c r="D35" s="8">
        <v>2.67</v>
      </c>
      <c r="E35" s="12">
        <v>18</v>
      </c>
      <c r="F35" s="8">
        <v>4.34</v>
      </c>
      <c r="G35" s="12">
        <v>5</v>
      </c>
      <c r="H35" s="8">
        <v>1.1599999999999999</v>
      </c>
      <c r="I35" s="12">
        <v>0</v>
      </c>
    </row>
    <row r="36" spans="2:9" ht="15" customHeight="1" x14ac:dyDescent="0.2">
      <c r="B36" t="s">
        <v>104</v>
      </c>
      <c r="C36" s="12">
        <v>22</v>
      </c>
      <c r="D36" s="8">
        <v>2.56</v>
      </c>
      <c r="E36" s="12">
        <v>12</v>
      </c>
      <c r="F36" s="8">
        <v>2.89</v>
      </c>
      <c r="G36" s="12">
        <v>10</v>
      </c>
      <c r="H36" s="8">
        <v>2.33</v>
      </c>
      <c r="I36" s="12">
        <v>0</v>
      </c>
    </row>
    <row r="37" spans="2:9" ht="15" customHeight="1" x14ac:dyDescent="0.2">
      <c r="B37" t="s">
        <v>97</v>
      </c>
      <c r="C37" s="12">
        <v>17</v>
      </c>
      <c r="D37" s="8">
        <v>1.98</v>
      </c>
      <c r="E37" s="12">
        <v>4</v>
      </c>
      <c r="F37" s="8">
        <v>0.96</v>
      </c>
      <c r="G37" s="12">
        <v>13</v>
      </c>
      <c r="H37" s="8">
        <v>3.02</v>
      </c>
      <c r="I37" s="12">
        <v>0</v>
      </c>
    </row>
    <row r="38" spans="2:9" ht="15" customHeight="1" x14ac:dyDescent="0.2">
      <c r="B38" t="s">
        <v>99</v>
      </c>
      <c r="C38" s="12">
        <v>16</v>
      </c>
      <c r="D38" s="8">
        <v>1.86</v>
      </c>
      <c r="E38" s="12">
        <v>1</v>
      </c>
      <c r="F38" s="8">
        <v>0.24</v>
      </c>
      <c r="G38" s="12">
        <v>15</v>
      </c>
      <c r="H38" s="8">
        <v>3.49</v>
      </c>
      <c r="I38" s="12">
        <v>0</v>
      </c>
    </row>
    <row r="39" spans="2:9" ht="15" customHeight="1" x14ac:dyDescent="0.2">
      <c r="B39" t="s">
        <v>100</v>
      </c>
      <c r="C39" s="12">
        <v>14</v>
      </c>
      <c r="D39" s="8">
        <v>1.63</v>
      </c>
      <c r="E39" s="12">
        <v>2</v>
      </c>
      <c r="F39" s="8">
        <v>0.48</v>
      </c>
      <c r="G39" s="12">
        <v>12</v>
      </c>
      <c r="H39" s="8">
        <v>2.79</v>
      </c>
      <c r="I39" s="12">
        <v>0</v>
      </c>
    </row>
    <row r="40" spans="2:9" ht="15" customHeight="1" x14ac:dyDescent="0.2">
      <c r="B40" t="s">
        <v>115</v>
      </c>
      <c r="C40" s="12">
        <v>14</v>
      </c>
      <c r="D40" s="8">
        <v>1.63</v>
      </c>
      <c r="E40" s="12">
        <v>7</v>
      </c>
      <c r="F40" s="8">
        <v>1.69</v>
      </c>
      <c r="G40" s="12">
        <v>7</v>
      </c>
      <c r="H40" s="8">
        <v>1.63</v>
      </c>
      <c r="I40" s="12">
        <v>0</v>
      </c>
    </row>
    <row r="41" spans="2:9" ht="15" customHeight="1" x14ac:dyDescent="0.2">
      <c r="B41" t="s">
        <v>116</v>
      </c>
      <c r="C41" s="12">
        <v>14</v>
      </c>
      <c r="D41" s="8">
        <v>1.63</v>
      </c>
      <c r="E41" s="12">
        <v>0</v>
      </c>
      <c r="F41" s="8">
        <v>0</v>
      </c>
      <c r="G41" s="12">
        <v>5</v>
      </c>
      <c r="H41" s="8">
        <v>1.1599999999999999</v>
      </c>
      <c r="I41" s="12">
        <v>0</v>
      </c>
    </row>
    <row r="42" spans="2:9" ht="15" customHeight="1" x14ac:dyDescent="0.2">
      <c r="B42" t="s">
        <v>98</v>
      </c>
      <c r="C42" s="12">
        <v>13</v>
      </c>
      <c r="D42" s="8">
        <v>1.51</v>
      </c>
      <c r="E42" s="12">
        <v>4</v>
      </c>
      <c r="F42" s="8">
        <v>0.96</v>
      </c>
      <c r="G42" s="12">
        <v>9</v>
      </c>
      <c r="H42" s="8">
        <v>2.09</v>
      </c>
      <c r="I42" s="12">
        <v>0</v>
      </c>
    </row>
    <row r="43" spans="2:9" ht="15" customHeight="1" x14ac:dyDescent="0.2">
      <c r="B43" t="s">
        <v>106</v>
      </c>
      <c r="C43" s="12">
        <v>12</v>
      </c>
      <c r="D43" s="8">
        <v>1.4</v>
      </c>
      <c r="E43" s="12">
        <v>2</v>
      </c>
      <c r="F43" s="8">
        <v>0.48</v>
      </c>
      <c r="G43" s="12">
        <v>10</v>
      </c>
      <c r="H43" s="8">
        <v>2.33</v>
      </c>
      <c r="I43" s="12">
        <v>0</v>
      </c>
    </row>
    <row r="44" spans="2:9" ht="15" customHeight="1" x14ac:dyDescent="0.2">
      <c r="B44" t="s">
        <v>109</v>
      </c>
      <c r="C44" s="12">
        <v>12</v>
      </c>
      <c r="D44" s="8">
        <v>1.4</v>
      </c>
      <c r="E44" s="12">
        <v>4</v>
      </c>
      <c r="F44" s="8">
        <v>0.96</v>
      </c>
      <c r="G44" s="12">
        <v>8</v>
      </c>
      <c r="H44" s="8">
        <v>1.86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168</v>
      </c>
      <c r="C48" s="12">
        <v>41</v>
      </c>
      <c r="D48" s="8">
        <v>4.7699999999999996</v>
      </c>
      <c r="E48" s="12">
        <v>32</v>
      </c>
      <c r="F48" s="8">
        <v>7.71</v>
      </c>
      <c r="G48" s="12">
        <v>9</v>
      </c>
      <c r="H48" s="8">
        <v>2.09</v>
      </c>
      <c r="I48" s="12">
        <v>0</v>
      </c>
    </row>
    <row r="49" spans="2:9" ht="15" customHeight="1" x14ac:dyDescent="0.2">
      <c r="B49" t="s">
        <v>161</v>
      </c>
      <c r="C49" s="12">
        <v>40</v>
      </c>
      <c r="D49" s="8">
        <v>4.6500000000000004</v>
      </c>
      <c r="E49" s="12">
        <v>13</v>
      </c>
      <c r="F49" s="8">
        <v>3.13</v>
      </c>
      <c r="G49" s="12">
        <v>27</v>
      </c>
      <c r="H49" s="8">
        <v>6.28</v>
      </c>
      <c r="I49" s="12">
        <v>0</v>
      </c>
    </row>
    <row r="50" spans="2:9" ht="15" customHeight="1" x14ac:dyDescent="0.2">
      <c r="B50" t="s">
        <v>163</v>
      </c>
      <c r="C50" s="12">
        <v>29</v>
      </c>
      <c r="D50" s="8">
        <v>3.37</v>
      </c>
      <c r="E50" s="12">
        <v>22</v>
      </c>
      <c r="F50" s="8">
        <v>5.3</v>
      </c>
      <c r="G50" s="12">
        <v>7</v>
      </c>
      <c r="H50" s="8">
        <v>1.63</v>
      </c>
      <c r="I50" s="12">
        <v>0</v>
      </c>
    </row>
    <row r="51" spans="2:9" ht="15" customHeight="1" x14ac:dyDescent="0.2">
      <c r="B51" t="s">
        <v>171</v>
      </c>
      <c r="C51" s="12">
        <v>29</v>
      </c>
      <c r="D51" s="8">
        <v>3.37</v>
      </c>
      <c r="E51" s="12">
        <v>28</v>
      </c>
      <c r="F51" s="8">
        <v>6.75</v>
      </c>
      <c r="G51" s="12">
        <v>1</v>
      </c>
      <c r="H51" s="8">
        <v>0.23</v>
      </c>
      <c r="I51" s="12">
        <v>0</v>
      </c>
    </row>
    <row r="52" spans="2:9" ht="15" customHeight="1" x14ac:dyDescent="0.2">
      <c r="B52" t="s">
        <v>165</v>
      </c>
      <c r="C52" s="12">
        <v>28</v>
      </c>
      <c r="D52" s="8">
        <v>3.26</v>
      </c>
      <c r="E52" s="12">
        <v>27</v>
      </c>
      <c r="F52" s="8">
        <v>6.51</v>
      </c>
      <c r="G52" s="12">
        <v>1</v>
      </c>
      <c r="H52" s="8">
        <v>0.23</v>
      </c>
      <c r="I52" s="12">
        <v>0</v>
      </c>
    </row>
    <row r="53" spans="2:9" ht="15" customHeight="1" x14ac:dyDescent="0.2">
      <c r="B53" t="s">
        <v>170</v>
      </c>
      <c r="C53" s="12">
        <v>26</v>
      </c>
      <c r="D53" s="8">
        <v>3.02</v>
      </c>
      <c r="E53" s="12">
        <v>20</v>
      </c>
      <c r="F53" s="8">
        <v>4.82</v>
      </c>
      <c r="G53" s="12">
        <v>6</v>
      </c>
      <c r="H53" s="8">
        <v>1.4</v>
      </c>
      <c r="I53" s="12">
        <v>0</v>
      </c>
    </row>
    <row r="54" spans="2:9" ht="15" customHeight="1" x14ac:dyDescent="0.2">
      <c r="B54" t="s">
        <v>164</v>
      </c>
      <c r="C54" s="12">
        <v>25</v>
      </c>
      <c r="D54" s="8">
        <v>2.91</v>
      </c>
      <c r="E54" s="12">
        <v>25</v>
      </c>
      <c r="F54" s="8">
        <v>6.02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153</v>
      </c>
      <c r="C55" s="12">
        <v>19</v>
      </c>
      <c r="D55" s="8">
        <v>2.21</v>
      </c>
      <c r="E55" s="12">
        <v>2</v>
      </c>
      <c r="F55" s="8">
        <v>0.48</v>
      </c>
      <c r="G55" s="12">
        <v>17</v>
      </c>
      <c r="H55" s="8">
        <v>3.95</v>
      </c>
      <c r="I55" s="12">
        <v>0</v>
      </c>
    </row>
    <row r="56" spans="2:9" ht="15" customHeight="1" x14ac:dyDescent="0.2">
      <c r="B56" t="s">
        <v>167</v>
      </c>
      <c r="C56" s="12">
        <v>19</v>
      </c>
      <c r="D56" s="8">
        <v>2.21</v>
      </c>
      <c r="E56" s="12">
        <v>16</v>
      </c>
      <c r="F56" s="8">
        <v>3.86</v>
      </c>
      <c r="G56" s="12">
        <v>3</v>
      </c>
      <c r="H56" s="8">
        <v>0.7</v>
      </c>
      <c r="I56" s="12">
        <v>0</v>
      </c>
    </row>
    <row r="57" spans="2:9" ht="15" customHeight="1" x14ac:dyDescent="0.2">
      <c r="B57" t="s">
        <v>205</v>
      </c>
      <c r="C57" s="12">
        <v>18</v>
      </c>
      <c r="D57" s="8">
        <v>2.09</v>
      </c>
      <c r="E57" s="12">
        <v>3</v>
      </c>
      <c r="F57" s="8">
        <v>0.72</v>
      </c>
      <c r="G57" s="12">
        <v>15</v>
      </c>
      <c r="H57" s="8">
        <v>3.49</v>
      </c>
      <c r="I57" s="12">
        <v>0</v>
      </c>
    </row>
    <row r="58" spans="2:9" ht="15" customHeight="1" x14ac:dyDescent="0.2">
      <c r="B58" t="s">
        <v>152</v>
      </c>
      <c r="C58" s="12">
        <v>16</v>
      </c>
      <c r="D58" s="8">
        <v>1.86</v>
      </c>
      <c r="E58" s="12">
        <v>1</v>
      </c>
      <c r="F58" s="8">
        <v>0.24</v>
      </c>
      <c r="G58" s="12">
        <v>15</v>
      </c>
      <c r="H58" s="8">
        <v>3.49</v>
      </c>
      <c r="I58" s="12">
        <v>0</v>
      </c>
    </row>
    <row r="59" spans="2:9" ht="15" customHeight="1" x14ac:dyDescent="0.2">
      <c r="B59" t="s">
        <v>154</v>
      </c>
      <c r="C59" s="12">
        <v>16</v>
      </c>
      <c r="D59" s="8">
        <v>1.86</v>
      </c>
      <c r="E59" s="12">
        <v>4</v>
      </c>
      <c r="F59" s="8">
        <v>0.96</v>
      </c>
      <c r="G59" s="12">
        <v>12</v>
      </c>
      <c r="H59" s="8">
        <v>2.79</v>
      </c>
      <c r="I59" s="12">
        <v>0</v>
      </c>
    </row>
    <row r="60" spans="2:9" ht="15" customHeight="1" x14ac:dyDescent="0.2">
      <c r="B60" t="s">
        <v>169</v>
      </c>
      <c r="C60" s="12">
        <v>15</v>
      </c>
      <c r="D60" s="8">
        <v>1.74</v>
      </c>
      <c r="E60" s="12">
        <v>9</v>
      </c>
      <c r="F60" s="8">
        <v>2.17</v>
      </c>
      <c r="G60" s="12">
        <v>6</v>
      </c>
      <c r="H60" s="8">
        <v>1.4</v>
      </c>
      <c r="I60" s="12">
        <v>0</v>
      </c>
    </row>
    <row r="61" spans="2:9" ht="15" customHeight="1" x14ac:dyDescent="0.2">
      <c r="B61" t="s">
        <v>186</v>
      </c>
      <c r="C61" s="12">
        <v>11</v>
      </c>
      <c r="D61" s="8">
        <v>1.28</v>
      </c>
      <c r="E61" s="12">
        <v>9</v>
      </c>
      <c r="F61" s="8">
        <v>2.17</v>
      </c>
      <c r="G61" s="12">
        <v>2</v>
      </c>
      <c r="H61" s="8">
        <v>0.47</v>
      </c>
      <c r="I61" s="12">
        <v>0</v>
      </c>
    </row>
    <row r="62" spans="2:9" ht="15" customHeight="1" x14ac:dyDescent="0.2">
      <c r="B62" t="s">
        <v>158</v>
      </c>
      <c r="C62" s="12">
        <v>11</v>
      </c>
      <c r="D62" s="8">
        <v>1.28</v>
      </c>
      <c r="E62" s="12">
        <v>7</v>
      </c>
      <c r="F62" s="8">
        <v>1.69</v>
      </c>
      <c r="G62" s="12">
        <v>4</v>
      </c>
      <c r="H62" s="8">
        <v>0.93</v>
      </c>
      <c r="I62" s="12">
        <v>0</v>
      </c>
    </row>
    <row r="63" spans="2:9" ht="15" customHeight="1" x14ac:dyDescent="0.2">
      <c r="B63" t="s">
        <v>179</v>
      </c>
      <c r="C63" s="12">
        <v>11</v>
      </c>
      <c r="D63" s="8">
        <v>1.28</v>
      </c>
      <c r="E63" s="12">
        <v>8</v>
      </c>
      <c r="F63" s="8">
        <v>1.93</v>
      </c>
      <c r="G63" s="12">
        <v>3</v>
      </c>
      <c r="H63" s="8">
        <v>0.7</v>
      </c>
      <c r="I63" s="12">
        <v>0</v>
      </c>
    </row>
    <row r="64" spans="2:9" ht="15" customHeight="1" x14ac:dyDescent="0.2">
      <c r="B64" t="s">
        <v>156</v>
      </c>
      <c r="C64" s="12">
        <v>10</v>
      </c>
      <c r="D64" s="8">
        <v>1.1599999999999999</v>
      </c>
      <c r="E64" s="12">
        <v>3</v>
      </c>
      <c r="F64" s="8">
        <v>0.72</v>
      </c>
      <c r="G64" s="12">
        <v>7</v>
      </c>
      <c r="H64" s="8">
        <v>1.63</v>
      </c>
      <c r="I64" s="12">
        <v>0</v>
      </c>
    </row>
    <row r="65" spans="2:9" ht="15" customHeight="1" x14ac:dyDescent="0.2">
      <c r="B65" t="s">
        <v>166</v>
      </c>
      <c r="C65" s="12">
        <v>10</v>
      </c>
      <c r="D65" s="8">
        <v>1.1599999999999999</v>
      </c>
      <c r="E65" s="12">
        <v>7</v>
      </c>
      <c r="F65" s="8">
        <v>1.69</v>
      </c>
      <c r="G65" s="12">
        <v>3</v>
      </c>
      <c r="H65" s="8">
        <v>0.7</v>
      </c>
      <c r="I65" s="12">
        <v>0</v>
      </c>
    </row>
    <row r="66" spans="2:9" ht="15" customHeight="1" x14ac:dyDescent="0.2">
      <c r="B66" t="s">
        <v>200</v>
      </c>
      <c r="C66" s="12">
        <v>9</v>
      </c>
      <c r="D66" s="8">
        <v>1.05</v>
      </c>
      <c r="E66" s="12">
        <v>3</v>
      </c>
      <c r="F66" s="8">
        <v>0.72</v>
      </c>
      <c r="G66" s="12">
        <v>6</v>
      </c>
      <c r="H66" s="8">
        <v>1.4</v>
      </c>
      <c r="I66" s="12">
        <v>0</v>
      </c>
    </row>
    <row r="67" spans="2:9" ht="15" customHeight="1" x14ac:dyDescent="0.2">
      <c r="B67" t="s">
        <v>198</v>
      </c>
      <c r="C67" s="12">
        <v>9</v>
      </c>
      <c r="D67" s="8">
        <v>1.05</v>
      </c>
      <c r="E67" s="12">
        <v>6</v>
      </c>
      <c r="F67" s="8">
        <v>1.45</v>
      </c>
      <c r="G67" s="12">
        <v>3</v>
      </c>
      <c r="H67" s="8">
        <v>0.7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BA33-2E68-47E3-A2B4-BEFF7C8F124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341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27</v>
      </c>
      <c r="D6" s="8">
        <v>9.61</v>
      </c>
      <c r="E6" s="12">
        <v>10</v>
      </c>
      <c r="F6" s="8">
        <v>13.51</v>
      </c>
      <c r="G6" s="12">
        <v>17</v>
      </c>
      <c r="H6" s="8">
        <v>8.3699999999999992</v>
      </c>
      <c r="I6" s="12">
        <v>0</v>
      </c>
    </row>
    <row r="7" spans="2:9" ht="15" customHeight="1" x14ac:dyDescent="0.2">
      <c r="B7" t="s">
        <v>73</v>
      </c>
      <c r="C7" s="12">
        <v>65</v>
      </c>
      <c r="D7" s="8">
        <v>23.13</v>
      </c>
      <c r="E7" s="12">
        <v>13</v>
      </c>
      <c r="F7" s="8">
        <v>17.57</v>
      </c>
      <c r="G7" s="12">
        <v>52</v>
      </c>
      <c r="H7" s="8">
        <v>25.62</v>
      </c>
      <c r="I7" s="12">
        <v>0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76</v>
      </c>
      <c r="C10" s="12">
        <v>45</v>
      </c>
      <c r="D10" s="8">
        <v>16.010000000000002</v>
      </c>
      <c r="E10" s="12">
        <v>2</v>
      </c>
      <c r="F10" s="8">
        <v>2.7</v>
      </c>
      <c r="G10" s="12">
        <v>43</v>
      </c>
      <c r="H10" s="8">
        <v>21.18</v>
      </c>
      <c r="I10" s="12">
        <v>0</v>
      </c>
    </row>
    <row r="11" spans="2:9" ht="15" customHeight="1" x14ac:dyDescent="0.2">
      <c r="B11" t="s">
        <v>77</v>
      </c>
      <c r="C11" s="12">
        <v>63</v>
      </c>
      <c r="D11" s="8">
        <v>22.42</v>
      </c>
      <c r="E11" s="12">
        <v>19</v>
      </c>
      <c r="F11" s="8">
        <v>25.68</v>
      </c>
      <c r="G11" s="12">
        <v>44</v>
      </c>
      <c r="H11" s="8">
        <v>21.67</v>
      </c>
      <c r="I11" s="12">
        <v>0</v>
      </c>
    </row>
    <row r="12" spans="2:9" ht="15" customHeight="1" x14ac:dyDescent="0.2">
      <c r="B12" t="s">
        <v>78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79</v>
      </c>
      <c r="C13" s="12">
        <v>16</v>
      </c>
      <c r="D13" s="8">
        <v>5.69</v>
      </c>
      <c r="E13" s="12">
        <v>0</v>
      </c>
      <c r="F13" s="8">
        <v>0</v>
      </c>
      <c r="G13" s="12">
        <v>16</v>
      </c>
      <c r="H13" s="8">
        <v>7.88</v>
      </c>
      <c r="I13" s="12">
        <v>0</v>
      </c>
    </row>
    <row r="14" spans="2:9" ht="15" customHeight="1" x14ac:dyDescent="0.2">
      <c r="B14" t="s">
        <v>80</v>
      </c>
      <c r="C14" s="12">
        <v>3</v>
      </c>
      <c r="D14" s="8">
        <v>1.07</v>
      </c>
      <c r="E14" s="12">
        <v>3</v>
      </c>
      <c r="F14" s="8">
        <v>4.05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81</v>
      </c>
      <c r="C15" s="12">
        <v>17</v>
      </c>
      <c r="D15" s="8">
        <v>6.05</v>
      </c>
      <c r="E15" s="12">
        <v>13</v>
      </c>
      <c r="F15" s="8">
        <v>17.57</v>
      </c>
      <c r="G15" s="12">
        <v>4</v>
      </c>
      <c r="H15" s="8">
        <v>1.97</v>
      </c>
      <c r="I15" s="12">
        <v>0</v>
      </c>
    </row>
    <row r="16" spans="2:9" ht="15" customHeight="1" x14ac:dyDescent="0.2">
      <c r="B16" t="s">
        <v>82</v>
      </c>
      <c r="C16" s="12">
        <v>6</v>
      </c>
      <c r="D16" s="8">
        <v>2.14</v>
      </c>
      <c r="E16" s="12">
        <v>3</v>
      </c>
      <c r="F16" s="8">
        <v>4.05</v>
      </c>
      <c r="G16" s="12">
        <v>1</v>
      </c>
      <c r="H16" s="8">
        <v>0.49</v>
      </c>
      <c r="I16" s="12">
        <v>0</v>
      </c>
    </row>
    <row r="17" spans="2:9" ht="15" customHeight="1" x14ac:dyDescent="0.2">
      <c r="B17" t="s">
        <v>83</v>
      </c>
      <c r="C17" s="12">
        <v>6</v>
      </c>
      <c r="D17" s="8">
        <v>2.14</v>
      </c>
      <c r="E17" s="12">
        <v>4</v>
      </c>
      <c r="F17" s="8">
        <v>5.41</v>
      </c>
      <c r="G17" s="12">
        <v>1</v>
      </c>
      <c r="H17" s="8">
        <v>0.49</v>
      </c>
      <c r="I17" s="12">
        <v>0</v>
      </c>
    </row>
    <row r="18" spans="2:9" ht="15" customHeight="1" x14ac:dyDescent="0.2">
      <c r="B18" t="s">
        <v>84</v>
      </c>
      <c r="C18" s="12">
        <v>2</v>
      </c>
      <c r="D18" s="8">
        <v>0.71</v>
      </c>
      <c r="E18" s="12">
        <v>1</v>
      </c>
      <c r="F18" s="8">
        <v>1.35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85</v>
      </c>
      <c r="C19" s="12">
        <v>31</v>
      </c>
      <c r="D19" s="8">
        <v>11.03</v>
      </c>
      <c r="E19" s="12">
        <v>6</v>
      </c>
      <c r="F19" s="8">
        <v>8.11</v>
      </c>
      <c r="G19" s="12">
        <v>25</v>
      </c>
      <c r="H19" s="8">
        <v>12.32</v>
      </c>
      <c r="I19" s="12">
        <v>0</v>
      </c>
    </row>
    <row r="20" spans="2:9" ht="15" customHeight="1" x14ac:dyDescent="0.2">
      <c r="B20" s="9" t="s">
        <v>277</v>
      </c>
      <c r="C20" s="12">
        <f>SUM(LTBL_23427[総数／事業所数])</f>
        <v>281</v>
      </c>
      <c r="E20" s="12">
        <f>SUBTOTAL(109,LTBL_23427[個人／事業所数])</f>
        <v>74</v>
      </c>
      <c r="G20" s="12">
        <f>SUBTOTAL(109,LTBL_23427[法人／事業所数])</f>
        <v>203</v>
      </c>
      <c r="I20" s="12">
        <f>SUBTOTAL(109,LTBL_23427[法人以外の団体／事業所数])</f>
        <v>0</v>
      </c>
    </row>
    <row r="21" spans="2:9" ht="15" customHeight="1" x14ac:dyDescent="0.2">
      <c r="E21" s="11">
        <f>LTBL_23427[[#Totals],[個人／事業所数]]/LTBL_23427[[#Totals],[総数／事業所数]]</f>
        <v>0.26334519572953735</v>
      </c>
      <c r="G21" s="11">
        <f>LTBL_23427[[#Totals],[法人／事業所数]]/LTBL_23427[[#Totals],[総数／事業所数]]</f>
        <v>0.72241992882562278</v>
      </c>
      <c r="I21" s="11">
        <f>LTBL_23427[[#Totals],[法人以外の団体／事業所数]]/LTBL_23427[[#Totals],[総数／事業所数]]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123</v>
      </c>
      <c r="C24" s="12">
        <v>21</v>
      </c>
      <c r="D24" s="8">
        <v>7.47</v>
      </c>
      <c r="E24" s="12">
        <v>0</v>
      </c>
      <c r="F24" s="8">
        <v>0</v>
      </c>
      <c r="G24" s="12">
        <v>21</v>
      </c>
      <c r="H24" s="8">
        <v>10.34</v>
      </c>
      <c r="I24" s="12">
        <v>0</v>
      </c>
    </row>
    <row r="25" spans="2:9" ht="15" customHeight="1" x14ac:dyDescent="0.2">
      <c r="B25" t="s">
        <v>97</v>
      </c>
      <c r="C25" s="12">
        <v>19</v>
      </c>
      <c r="D25" s="8">
        <v>6.76</v>
      </c>
      <c r="E25" s="12">
        <v>6</v>
      </c>
      <c r="F25" s="8">
        <v>8.11</v>
      </c>
      <c r="G25" s="12">
        <v>13</v>
      </c>
      <c r="H25" s="8">
        <v>6.4</v>
      </c>
      <c r="I25" s="12">
        <v>0</v>
      </c>
    </row>
    <row r="26" spans="2:9" ht="15" customHeight="1" x14ac:dyDescent="0.2">
      <c r="B26" t="s">
        <v>99</v>
      </c>
      <c r="C26" s="12">
        <v>19</v>
      </c>
      <c r="D26" s="8">
        <v>6.76</v>
      </c>
      <c r="E26" s="12">
        <v>1</v>
      </c>
      <c r="F26" s="8">
        <v>1.35</v>
      </c>
      <c r="G26" s="12">
        <v>18</v>
      </c>
      <c r="H26" s="8">
        <v>8.8699999999999992</v>
      </c>
      <c r="I26" s="12">
        <v>0</v>
      </c>
    </row>
    <row r="27" spans="2:9" ht="15" customHeight="1" x14ac:dyDescent="0.2">
      <c r="B27" t="s">
        <v>105</v>
      </c>
      <c r="C27" s="12">
        <v>17</v>
      </c>
      <c r="D27" s="8">
        <v>6.05</v>
      </c>
      <c r="E27" s="12">
        <v>12</v>
      </c>
      <c r="F27" s="8">
        <v>16.22</v>
      </c>
      <c r="G27" s="12">
        <v>5</v>
      </c>
      <c r="H27" s="8">
        <v>2.46</v>
      </c>
      <c r="I27" s="12">
        <v>0</v>
      </c>
    </row>
    <row r="28" spans="2:9" ht="15" customHeight="1" x14ac:dyDescent="0.2">
      <c r="B28" t="s">
        <v>140</v>
      </c>
      <c r="C28" s="12">
        <v>16</v>
      </c>
      <c r="D28" s="8">
        <v>5.69</v>
      </c>
      <c r="E28" s="12">
        <v>0</v>
      </c>
      <c r="F28" s="8">
        <v>0</v>
      </c>
      <c r="G28" s="12">
        <v>16</v>
      </c>
      <c r="H28" s="8">
        <v>7.88</v>
      </c>
      <c r="I28" s="12">
        <v>0</v>
      </c>
    </row>
    <row r="29" spans="2:9" ht="15" customHeight="1" x14ac:dyDescent="0.2">
      <c r="B29" t="s">
        <v>110</v>
      </c>
      <c r="C29" s="12">
        <v>14</v>
      </c>
      <c r="D29" s="8">
        <v>4.9800000000000004</v>
      </c>
      <c r="E29" s="12">
        <v>13</v>
      </c>
      <c r="F29" s="8">
        <v>17.57</v>
      </c>
      <c r="G29" s="12">
        <v>1</v>
      </c>
      <c r="H29" s="8">
        <v>0.49</v>
      </c>
      <c r="I29" s="12">
        <v>0</v>
      </c>
    </row>
    <row r="30" spans="2:9" ht="15" customHeight="1" x14ac:dyDescent="0.2">
      <c r="B30" t="s">
        <v>94</v>
      </c>
      <c r="C30" s="12">
        <v>12</v>
      </c>
      <c r="D30" s="8">
        <v>4.2699999999999996</v>
      </c>
      <c r="E30" s="12">
        <v>4</v>
      </c>
      <c r="F30" s="8">
        <v>5.41</v>
      </c>
      <c r="G30" s="12">
        <v>8</v>
      </c>
      <c r="H30" s="8">
        <v>3.94</v>
      </c>
      <c r="I30" s="12">
        <v>0</v>
      </c>
    </row>
    <row r="31" spans="2:9" ht="15" customHeight="1" x14ac:dyDescent="0.2">
      <c r="B31" t="s">
        <v>141</v>
      </c>
      <c r="C31" s="12">
        <v>11</v>
      </c>
      <c r="D31" s="8">
        <v>3.91</v>
      </c>
      <c r="E31" s="12">
        <v>0</v>
      </c>
      <c r="F31" s="8">
        <v>0</v>
      </c>
      <c r="G31" s="12">
        <v>11</v>
      </c>
      <c r="H31" s="8">
        <v>5.42</v>
      </c>
      <c r="I31" s="12">
        <v>0</v>
      </c>
    </row>
    <row r="32" spans="2:9" ht="15" customHeight="1" x14ac:dyDescent="0.2">
      <c r="B32" t="s">
        <v>95</v>
      </c>
      <c r="C32" s="12">
        <v>10</v>
      </c>
      <c r="D32" s="8">
        <v>3.56</v>
      </c>
      <c r="E32" s="12">
        <v>6</v>
      </c>
      <c r="F32" s="8">
        <v>8.11</v>
      </c>
      <c r="G32" s="12">
        <v>4</v>
      </c>
      <c r="H32" s="8">
        <v>1.97</v>
      </c>
      <c r="I32" s="12">
        <v>0</v>
      </c>
    </row>
    <row r="33" spans="2:9" ht="15" customHeight="1" x14ac:dyDescent="0.2">
      <c r="B33" t="s">
        <v>100</v>
      </c>
      <c r="C33" s="12">
        <v>10</v>
      </c>
      <c r="D33" s="8">
        <v>3.56</v>
      </c>
      <c r="E33" s="12">
        <v>0</v>
      </c>
      <c r="F33" s="8">
        <v>0</v>
      </c>
      <c r="G33" s="12">
        <v>10</v>
      </c>
      <c r="H33" s="8">
        <v>4.93</v>
      </c>
      <c r="I33" s="12">
        <v>0</v>
      </c>
    </row>
    <row r="34" spans="2:9" ht="15" customHeight="1" x14ac:dyDescent="0.2">
      <c r="B34" t="s">
        <v>107</v>
      </c>
      <c r="C34" s="12">
        <v>10</v>
      </c>
      <c r="D34" s="8">
        <v>3.56</v>
      </c>
      <c r="E34" s="12">
        <v>0</v>
      </c>
      <c r="F34" s="8">
        <v>0</v>
      </c>
      <c r="G34" s="12">
        <v>10</v>
      </c>
      <c r="H34" s="8">
        <v>4.93</v>
      </c>
      <c r="I34" s="12">
        <v>0</v>
      </c>
    </row>
    <row r="35" spans="2:9" ht="15" customHeight="1" x14ac:dyDescent="0.2">
      <c r="B35" t="s">
        <v>122</v>
      </c>
      <c r="C35" s="12">
        <v>9</v>
      </c>
      <c r="D35" s="8">
        <v>3.2</v>
      </c>
      <c r="E35" s="12">
        <v>5</v>
      </c>
      <c r="F35" s="8">
        <v>6.76</v>
      </c>
      <c r="G35" s="12">
        <v>4</v>
      </c>
      <c r="H35" s="8">
        <v>1.97</v>
      </c>
      <c r="I35" s="12">
        <v>0</v>
      </c>
    </row>
    <row r="36" spans="2:9" ht="15" customHeight="1" x14ac:dyDescent="0.2">
      <c r="B36" t="s">
        <v>133</v>
      </c>
      <c r="C36" s="12">
        <v>8</v>
      </c>
      <c r="D36" s="8">
        <v>2.85</v>
      </c>
      <c r="E36" s="12">
        <v>1</v>
      </c>
      <c r="F36" s="8">
        <v>1.35</v>
      </c>
      <c r="G36" s="12">
        <v>7</v>
      </c>
      <c r="H36" s="8">
        <v>3.45</v>
      </c>
      <c r="I36" s="12">
        <v>0</v>
      </c>
    </row>
    <row r="37" spans="2:9" ht="15" customHeight="1" x14ac:dyDescent="0.2">
      <c r="B37" t="s">
        <v>139</v>
      </c>
      <c r="C37" s="12">
        <v>8</v>
      </c>
      <c r="D37" s="8">
        <v>2.85</v>
      </c>
      <c r="E37" s="12">
        <v>2</v>
      </c>
      <c r="F37" s="8">
        <v>2.7</v>
      </c>
      <c r="G37" s="12">
        <v>6</v>
      </c>
      <c r="H37" s="8">
        <v>2.96</v>
      </c>
      <c r="I37" s="12">
        <v>0</v>
      </c>
    </row>
    <row r="38" spans="2:9" ht="15" customHeight="1" x14ac:dyDescent="0.2">
      <c r="B38" t="s">
        <v>114</v>
      </c>
      <c r="C38" s="12">
        <v>8</v>
      </c>
      <c r="D38" s="8">
        <v>2.85</v>
      </c>
      <c r="E38" s="12">
        <v>1</v>
      </c>
      <c r="F38" s="8">
        <v>1.35</v>
      </c>
      <c r="G38" s="12">
        <v>7</v>
      </c>
      <c r="H38" s="8">
        <v>3.45</v>
      </c>
      <c r="I38" s="12">
        <v>0</v>
      </c>
    </row>
    <row r="39" spans="2:9" ht="15" customHeight="1" x14ac:dyDescent="0.2">
      <c r="B39" t="s">
        <v>124</v>
      </c>
      <c r="C39" s="12">
        <v>7</v>
      </c>
      <c r="D39" s="8">
        <v>2.4900000000000002</v>
      </c>
      <c r="E39" s="12">
        <v>0</v>
      </c>
      <c r="F39" s="8">
        <v>0</v>
      </c>
      <c r="G39" s="12">
        <v>7</v>
      </c>
      <c r="H39" s="8">
        <v>3.45</v>
      </c>
      <c r="I39" s="12">
        <v>0</v>
      </c>
    </row>
    <row r="40" spans="2:9" ht="15" customHeight="1" x14ac:dyDescent="0.2">
      <c r="B40" t="s">
        <v>132</v>
      </c>
      <c r="C40" s="12">
        <v>7</v>
      </c>
      <c r="D40" s="8">
        <v>2.4900000000000002</v>
      </c>
      <c r="E40" s="12">
        <v>1</v>
      </c>
      <c r="F40" s="8">
        <v>1.35</v>
      </c>
      <c r="G40" s="12">
        <v>6</v>
      </c>
      <c r="H40" s="8">
        <v>2.96</v>
      </c>
      <c r="I40" s="12">
        <v>0</v>
      </c>
    </row>
    <row r="41" spans="2:9" ht="15" customHeight="1" x14ac:dyDescent="0.2">
      <c r="B41" t="s">
        <v>104</v>
      </c>
      <c r="C41" s="12">
        <v>6</v>
      </c>
      <c r="D41" s="8">
        <v>2.14</v>
      </c>
      <c r="E41" s="12">
        <v>2</v>
      </c>
      <c r="F41" s="8">
        <v>2.7</v>
      </c>
      <c r="G41" s="12">
        <v>4</v>
      </c>
      <c r="H41" s="8">
        <v>1.97</v>
      </c>
      <c r="I41" s="12">
        <v>0</v>
      </c>
    </row>
    <row r="42" spans="2:9" ht="15" customHeight="1" x14ac:dyDescent="0.2">
      <c r="B42" t="s">
        <v>112</v>
      </c>
      <c r="C42" s="12">
        <v>6</v>
      </c>
      <c r="D42" s="8">
        <v>2.14</v>
      </c>
      <c r="E42" s="12">
        <v>4</v>
      </c>
      <c r="F42" s="8">
        <v>5.41</v>
      </c>
      <c r="G42" s="12">
        <v>1</v>
      </c>
      <c r="H42" s="8">
        <v>0.49</v>
      </c>
      <c r="I42" s="12">
        <v>0</v>
      </c>
    </row>
    <row r="43" spans="2:9" ht="15" customHeight="1" x14ac:dyDescent="0.2">
      <c r="B43" t="s">
        <v>96</v>
      </c>
      <c r="C43" s="12">
        <v>5</v>
      </c>
      <c r="D43" s="8">
        <v>1.78</v>
      </c>
      <c r="E43" s="12">
        <v>0</v>
      </c>
      <c r="F43" s="8">
        <v>0</v>
      </c>
      <c r="G43" s="12">
        <v>5</v>
      </c>
      <c r="H43" s="8">
        <v>2.46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235</v>
      </c>
      <c r="C47" s="12">
        <v>16</v>
      </c>
      <c r="D47" s="8">
        <v>5.69</v>
      </c>
      <c r="E47" s="12">
        <v>0</v>
      </c>
      <c r="F47" s="8">
        <v>0</v>
      </c>
      <c r="G47" s="12">
        <v>16</v>
      </c>
      <c r="H47" s="8">
        <v>7.88</v>
      </c>
      <c r="I47" s="12">
        <v>0</v>
      </c>
    </row>
    <row r="48" spans="2:9" ht="15" customHeight="1" x14ac:dyDescent="0.2">
      <c r="B48" t="s">
        <v>196</v>
      </c>
      <c r="C48" s="12">
        <v>14</v>
      </c>
      <c r="D48" s="8">
        <v>4.9800000000000004</v>
      </c>
      <c r="E48" s="12">
        <v>5</v>
      </c>
      <c r="F48" s="8">
        <v>6.76</v>
      </c>
      <c r="G48" s="12">
        <v>9</v>
      </c>
      <c r="H48" s="8">
        <v>4.43</v>
      </c>
      <c r="I48" s="12">
        <v>0</v>
      </c>
    </row>
    <row r="49" spans="2:9" ht="15" customHeight="1" x14ac:dyDescent="0.2">
      <c r="B49" t="s">
        <v>236</v>
      </c>
      <c r="C49" s="12">
        <v>13</v>
      </c>
      <c r="D49" s="8">
        <v>4.63</v>
      </c>
      <c r="E49" s="12">
        <v>0</v>
      </c>
      <c r="F49" s="8">
        <v>0</v>
      </c>
      <c r="G49" s="12">
        <v>13</v>
      </c>
      <c r="H49" s="8">
        <v>6.4</v>
      </c>
      <c r="I49" s="12">
        <v>0</v>
      </c>
    </row>
    <row r="50" spans="2:9" ht="15" customHeight="1" x14ac:dyDescent="0.2">
      <c r="B50" t="s">
        <v>242</v>
      </c>
      <c r="C50" s="12">
        <v>11</v>
      </c>
      <c r="D50" s="8">
        <v>3.91</v>
      </c>
      <c r="E50" s="12">
        <v>0</v>
      </c>
      <c r="F50" s="8">
        <v>0</v>
      </c>
      <c r="G50" s="12">
        <v>11</v>
      </c>
      <c r="H50" s="8">
        <v>5.42</v>
      </c>
      <c r="I50" s="12">
        <v>0</v>
      </c>
    </row>
    <row r="51" spans="2:9" ht="15" customHeight="1" x14ac:dyDescent="0.2">
      <c r="B51" t="s">
        <v>224</v>
      </c>
      <c r="C51" s="12">
        <v>9</v>
      </c>
      <c r="D51" s="8">
        <v>3.2</v>
      </c>
      <c r="E51" s="12">
        <v>0</v>
      </c>
      <c r="F51" s="8">
        <v>0</v>
      </c>
      <c r="G51" s="12">
        <v>9</v>
      </c>
      <c r="H51" s="8">
        <v>4.43</v>
      </c>
      <c r="I51" s="12">
        <v>0</v>
      </c>
    </row>
    <row r="52" spans="2:9" ht="15" customHeight="1" x14ac:dyDescent="0.2">
      <c r="B52" t="s">
        <v>239</v>
      </c>
      <c r="C52" s="12">
        <v>9</v>
      </c>
      <c r="D52" s="8">
        <v>3.2</v>
      </c>
      <c r="E52" s="12">
        <v>0</v>
      </c>
      <c r="F52" s="8">
        <v>0</v>
      </c>
      <c r="G52" s="12">
        <v>9</v>
      </c>
      <c r="H52" s="8">
        <v>4.43</v>
      </c>
      <c r="I52" s="12">
        <v>0</v>
      </c>
    </row>
    <row r="53" spans="2:9" ht="15" customHeight="1" x14ac:dyDescent="0.2">
      <c r="B53" t="s">
        <v>188</v>
      </c>
      <c r="C53" s="12">
        <v>9</v>
      </c>
      <c r="D53" s="8">
        <v>3.2</v>
      </c>
      <c r="E53" s="12">
        <v>5</v>
      </c>
      <c r="F53" s="8">
        <v>6.76</v>
      </c>
      <c r="G53" s="12">
        <v>4</v>
      </c>
      <c r="H53" s="8">
        <v>1.97</v>
      </c>
      <c r="I53" s="12">
        <v>0</v>
      </c>
    </row>
    <row r="54" spans="2:9" ht="15" customHeight="1" x14ac:dyDescent="0.2">
      <c r="B54" t="s">
        <v>216</v>
      </c>
      <c r="C54" s="12">
        <v>7</v>
      </c>
      <c r="D54" s="8">
        <v>2.4900000000000002</v>
      </c>
      <c r="E54" s="12">
        <v>1</v>
      </c>
      <c r="F54" s="8">
        <v>1.35</v>
      </c>
      <c r="G54" s="12">
        <v>6</v>
      </c>
      <c r="H54" s="8">
        <v>2.96</v>
      </c>
      <c r="I54" s="12">
        <v>0</v>
      </c>
    </row>
    <row r="55" spans="2:9" ht="15" customHeight="1" x14ac:dyDescent="0.2">
      <c r="B55" t="s">
        <v>158</v>
      </c>
      <c r="C55" s="12">
        <v>7</v>
      </c>
      <c r="D55" s="8">
        <v>2.4900000000000002</v>
      </c>
      <c r="E55" s="12">
        <v>6</v>
      </c>
      <c r="F55" s="8">
        <v>8.11</v>
      </c>
      <c r="G55" s="12">
        <v>1</v>
      </c>
      <c r="H55" s="8">
        <v>0.49</v>
      </c>
      <c r="I55" s="12">
        <v>0</v>
      </c>
    </row>
    <row r="56" spans="2:9" ht="15" customHeight="1" x14ac:dyDescent="0.2">
      <c r="B56" t="s">
        <v>165</v>
      </c>
      <c r="C56" s="12">
        <v>7</v>
      </c>
      <c r="D56" s="8">
        <v>2.4900000000000002</v>
      </c>
      <c r="E56" s="12">
        <v>7</v>
      </c>
      <c r="F56" s="8">
        <v>9.4600000000000009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180</v>
      </c>
      <c r="C57" s="12">
        <v>7</v>
      </c>
      <c r="D57" s="8">
        <v>2.4900000000000002</v>
      </c>
      <c r="E57" s="12">
        <v>0</v>
      </c>
      <c r="F57" s="8">
        <v>0</v>
      </c>
      <c r="G57" s="12">
        <v>7</v>
      </c>
      <c r="H57" s="8">
        <v>3.45</v>
      </c>
      <c r="I57" s="12">
        <v>0</v>
      </c>
    </row>
    <row r="58" spans="2:9" ht="15" customHeight="1" x14ac:dyDescent="0.2">
      <c r="B58" t="s">
        <v>234</v>
      </c>
      <c r="C58" s="12">
        <v>6</v>
      </c>
      <c r="D58" s="8">
        <v>2.14</v>
      </c>
      <c r="E58" s="12">
        <v>2</v>
      </c>
      <c r="F58" s="8">
        <v>2.7</v>
      </c>
      <c r="G58" s="12">
        <v>4</v>
      </c>
      <c r="H58" s="8">
        <v>1.97</v>
      </c>
      <c r="I58" s="12">
        <v>0</v>
      </c>
    </row>
    <row r="59" spans="2:9" ht="15" customHeight="1" x14ac:dyDescent="0.2">
      <c r="B59" t="s">
        <v>156</v>
      </c>
      <c r="C59" s="12">
        <v>6</v>
      </c>
      <c r="D59" s="8">
        <v>2.14</v>
      </c>
      <c r="E59" s="12">
        <v>2</v>
      </c>
      <c r="F59" s="8">
        <v>2.7</v>
      </c>
      <c r="G59" s="12">
        <v>4</v>
      </c>
      <c r="H59" s="8">
        <v>1.97</v>
      </c>
      <c r="I59" s="12">
        <v>0</v>
      </c>
    </row>
    <row r="60" spans="2:9" ht="15" customHeight="1" x14ac:dyDescent="0.2">
      <c r="B60" t="s">
        <v>152</v>
      </c>
      <c r="C60" s="12">
        <v>5</v>
      </c>
      <c r="D60" s="8">
        <v>1.78</v>
      </c>
      <c r="E60" s="12">
        <v>2</v>
      </c>
      <c r="F60" s="8">
        <v>2.7</v>
      </c>
      <c r="G60" s="12">
        <v>3</v>
      </c>
      <c r="H60" s="8">
        <v>1.48</v>
      </c>
      <c r="I60" s="12">
        <v>0</v>
      </c>
    </row>
    <row r="61" spans="2:9" ht="15" customHeight="1" x14ac:dyDescent="0.2">
      <c r="B61" t="s">
        <v>238</v>
      </c>
      <c r="C61" s="12">
        <v>5</v>
      </c>
      <c r="D61" s="8">
        <v>1.78</v>
      </c>
      <c r="E61" s="12">
        <v>1</v>
      </c>
      <c r="F61" s="8">
        <v>1.35</v>
      </c>
      <c r="G61" s="12">
        <v>4</v>
      </c>
      <c r="H61" s="8">
        <v>1.97</v>
      </c>
      <c r="I61" s="12">
        <v>0</v>
      </c>
    </row>
    <row r="62" spans="2:9" ht="15" customHeight="1" x14ac:dyDescent="0.2">
      <c r="B62" t="s">
        <v>153</v>
      </c>
      <c r="C62" s="12">
        <v>4</v>
      </c>
      <c r="D62" s="8">
        <v>1.42</v>
      </c>
      <c r="E62" s="12">
        <v>0</v>
      </c>
      <c r="F62" s="8">
        <v>0</v>
      </c>
      <c r="G62" s="12">
        <v>4</v>
      </c>
      <c r="H62" s="8">
        <v>1.97</v>
      </c>
      <c r="I62" s="12">
        <v>0</v>
      </c>
    </row>
    <row r="63" spans="2:9" ht="15" customHeight="1" x14ac:dyDescent="0.2">
      <c r="B63" t="s">
        <v>232</v>
      </c>
      <c r="C63" s="12">
        <v>4</v>
      </c>
      <c r="D63" s="8">
        <v>1.42</v>
      </c>
      <c r="E63" s="12">
        <v>1</v>
      </c>
      <c r="F63" s="8">
        <v>1.35</v>
      </c>
      <c r="G63" s="12">
        <v>3</v>
      </c>
      <c r="H63" s="8">
        <v>1.48</v>
      </c>
      <c r="I63" s="12">
        <v>0</v>
      </c>
    </row>
    <row r="64" spans="2:9" ht="15" customHeight="1" x14ac:dyDescent="0.2">
      <c r="B64" t="s">
        <v>233</v>
      </c>
      <c r="C64" s="12">
        <v>4</v>
      </c>
      <c r="D64" s="8">
        <v>1.42</v>
      </c>
      <c r="E64" s="12">
        <v>0</v>
      </c>
      <c r="F64" s="8">
        <v>0</v>
      </c>
      <c r="G64" s="12">
        <v>4</v>
      </c>
      <c r="H64" s="8">
        <v>1.97</v>
      </c>
      <c r="I64" s="12">
        <v>0</v>
      </c>
    </row>
    <row r="65" spans="2:9" ht="15" customHeight="1" x14ac:dyDescent="0.2">
      <c r="B65" t="s">
        <v>237</v>
      </c>
      <c r="C65" s="12">
        <v>4</v>
      </c>
      <c r="D65" s="8">
        <v>1.42</v>
      </c>
      <c r="E65" s="12">
        <v>0</v>
      </c>
      <c r="F65" s="8">
        <v>0</v>
      </c>
      <c r="G65" s="12">
        <v>4</v>
      </c>
      <c r="H65" s="8">
        <v>1.97</v>
      </c>
      <c r="I65" s="12">
        <v>0</v>
      </c>
    </row>
    <row r="66" spans="2:9" ht="15" customHeight="1" x14ac:dyDescent="0.2">
      <c r="B66" t="s">
        <v>240</v>
      </c>
      <c r="C66" s="12">
        <v>4</v>
      </c>
      <c r="D66" s="8">
        <v>1.42</v>
      </c>
      <c r="E66" s="12">
        <v>2</v>
      </c>
      <c r="F66" s="8">
        <v>2.7</v>
      </c>
      <c r="G66" s="12">
        <v>2</v>
      </c>
      <c r="H66" s="8">
        <v>0.99</v>
      </c>
      <c r="I66" s="12">
        <v>0</v>
      </c>
    </row>
    <row r="67" spans="2:9" ht="15" customHeight="1" x14ac:dyDescent="0.2">
      <c r="B67" t="s">
        <v>160</v>
      </c>
      <c r="C67" s="12">
        <v>4</v>
      </c>
      <c r="D67" s="8">
        <v>1.42</v>
      </c>
      <c r="E67" s="12">
        <v>0</v>
      </c>
      <c r="F67" s="8">
        <v>0</v>
      </c>
      <c r="G67" s="12">
        <v>4</v>
      </c>
      <c r="H67" s="8">
        <v>1.97</v>
      </c>
      <c r="I67" s="12">
        <v>0</v>
      </c>
    </row>
    <row r="68" spans="2:9" ht="15" customHeight="1" x14ac:dyDescent="0.2">
      <c r="B68" t="s">
        <v>241</v>
      </c>
      <c r="C68" s="12">
        <v>4</v>
      </c>
      <c r="D68" s="8">
        <v>1.42</v>
      </c>
      <c r="E68" s="12">
        <v>0</v>
      </c>
      <c r="F68" s="8">
        <v>0</v>
      </c>
      <c r="G68" s="12">
        <v>4</v>
      </c>
      <c r="H68" s="8">
        <v>1.97</v>
      </c>
      <c r="I68" s="12">
        <v>0</v>
      </c>
    </row>
    <row r="69" spans="2:9" ht="15" customHeight="1" x14ac:dyDescent="0.2">
      <c r="B69" t="s">
        <v>163</v>
      </c>
      <c r="C69" s="12">
        <v>4</v>
      </c>
      <c r="D69" s="8">
        <v>1.42</v>
      </c>
      <c r="E69" s="12">
        <v>3</v>
      </c>
      <c r="F69" s="8">
        <v>4.05</v>
      </c>
      <c r="G69" s="12">
        <v>1</v>
      </c>
      <c r="H69" s="8">
        <v>0.49</v>
      </c>
      <c r="I69" s="12">
        <v>0</v>
      </c>
    </row>
    <row r="70" spans="2:9" ht="15" customHeight="1" x14ac:dyDescent="0.2">
      <c r="B70" t="s">
        <v>170</v>
      </c>
      <c r="C70" s="12">
        <v>4</v>
      </c>
      <c r="D70" s="8">
        <v>1.42</v>
      </c>
      <c r="E70" s="12">
        <v>4</v>
      </c>
      <c r="F70" s="8">
        <v>5.41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2FC6-A0CE-4F37-A407-90E666C5D155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342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90</v>
      </c>
      <c r="D6" s="8">
        <v>19.52</v>
      </c>
      <c r="E6" s="12">
        <v>32</v>
      </c>
      <c r="F6" s="8">
        <v>13.01</v>
      </c>
      <c r="G6" s="12">
        <v>58</v>
      </c>
      <c r="H6" s="8">
        <v>27.49</v>
      </c>
      <c r="I6" s="12">
        <v>0</v>
      </c>
    </row>
    <row r="7" spans="2:9" ht="15" customHeight="1" x14ac:dyDescent="0.2">
      <c r="B7" t="s">
        <v>73</v>
      </c>
      <c r="C7" s="12">
        <v>28</v>
      </c>
      <c r="D7" s="8">
        <v>6.07</v>
      </c>
      <c r="E7" s="12">
        <v>10</v>
      </c>
      <c r="F7" s="8">
        <v>4.07</v>
      </c>
      <c r="G7" s="12">
        <v>18</v>
      </c>
      <c r="H7" s="8">
        <v>8.5299999999999994</v>
      </c>
      <c r="I7" s="12">
        <v>0</v>
      </c>
    </row>
    <row r="8" spans="2:9" ht="15" customHeight="1" x14ac:dyDescent="0.2">
      <c r="B8" t="s">
        <v>74</v>
      </c>
      <c r="C8" s="12">
        <v>4</v>
      </c>
      <c r="D8" s="8">
        <v>0.87</v>
      </c>
      <c r="E8" s="12">
        <v>0</v>
      </c>
      <c r="F8" s="8">
        <v>0</v>
      </c>
      <c r="G8" s="12">
        <v>4</v>
      </c>
      <c r="H8" s="8">
        <v>1.9</v>
      </c>
      <c r="I8" s="12">
        <v>0</v>
      </c>
    </row>
    <row r="9" spans="2:9" ht="15" customHeight="1" x14ac:dyDescent="0.2">
      <c r="B9" t="s">
        <v>75</v>
      </c>
      <c r="C9" s="12">
        <v>5</v>
      </c>
      <c r="D9" s="8">
        <v>1.08</v>
      </c>
      <c r="E9" s="12">
        <v>1</v>
      </c>
      <c r="F9" s="8">
        <v>0.41</v>
      </c>
      <c r="G9" s="12">
        <v>4</v>
      </c>
      <c r="H9" s="8">
        <v>1.9</v>
      </c>
      <c r="I9" s="12">
        <v>0</v>
      </c>
    </row>
    <row r="10" spans="2:9" ht="15" customHeight="1" x14ac:dyDescent="0.2">
      <c r="B10" t="s">
        <v>76</v>
      </c>
      <c r="C10" s="12">
        <v>3</v>
      </c>
      <c r="D10" s="8">
        <v>0.65</v>
      </c>
      <c r="E10" s="12">
        <v>1</v>
      </c>
      <c r="F10" s="8">
        <v>0.41</v>
      </c>
      <c r="G10" s="12">
        <v>2</v>
      </c>
      <c r="H10" s="8">
        <v>0.95</v>
      </c>
      <c r="I10" s="12">
        <v>0</v>
      </c>
    </row>
    <row r="11" spans="2:9" ht="15" customHeight="1" x14ac:dyDescent="0.2">
      <c r="B11" t="s">
        <v>77</v>
      </c>
      <c r="C11" s="12">
        <v>107</v>
      </c>
      <c r="D11" s="8">
        <v>23.21</v>
      </c>
      <c r="E11" s="12">
        <v>58</v>
      </c>
      <c r="F11" s="8">
        <v>23.58</v>
      </c>
      <c r="G11" s="12">
        <v>49</v>
      </c>
      <c r="H11" s="8">
        <v>23.22</v>
      </c>
      <c r="I11" s="12">
        <v>0</v>
      </c>
    </row>
    <row r="12" spans="2:9" ht="15" customHeight="1" x14ac:dyDescent="0.2">
      <c r="B12" t="s">
        <v>78</v>
      </c>
      <c r="C12" s="12">
        <v>5</v>
      </c>
      <c r="D12" s="8">
        <v>1.08</v>
      </c>
      <c r="E12" s="12">
        <v>0</v>
      </c>
      <c r="F12" s="8">
        <v>0</v>
      </c>
      <c r="G12" s="12">
        <v>5</v>
      </c>
      <c r="H12" s="8">
        <v>2.37</v>
      </c>
      <c r="I12" s="12">
        <v>0</v>
      </c>
    </row>
    <row r="13" spans="2:9" ht="15" customHeight="1" x14ac:dyDescent="0.2">
      <c r="B13" t="s">
        <v>79</v>
      </c>
      <c r="C13" s="12">
        <v>22</v>
      </c>
      <c r="D13" s="8">
        <v>4.7699999999999996</v>
      </c>
      <c r="E13" s="12">
        <v>6</v>
      </c>
      <c r="F13" s="8">
        <v>2.44</v>
      </c>
      <c r="G13" s="12">
        <v>16</v>
      </c>
      <c r="H13" s="8">
        <v>7.58</v>
      </c>
      <c r="I13" s="12">
        <v>0</v>
      </c>
    </row>
    <row r="14" spans="2:9" ht="15" customHeight="1" x14ac:dyDescent="0.2">
      <c r="B14" t="s">
        <v>80</v>
      </c>
      <c r="C14" s="12">
        <v>24</v>
      </c>
      <c r="D14" s="8">
        <v>5.21</v>
      </c>
      <c r="E14" s="12">
        <v>16</v>
      </c>
      <c r="F14" s="8">
        <v>6.5</v>
      </c>
      <c r="G14" s="12">
        <v>8</v>
      </c>
      <c r="H14" s="8">
        <v>3.79</v>
      </c>
      <c r="I14" s="12">
        <v>0</v>
      </c>
    </row>
    <row r="15" spans="2:9" ht="15" customHeight="1" x14ac:dyDescent="0.2">
      <c r="B15" t="s">
        <v>81</v>
      </c>
      <c r="C15" s="12">
        <v>47</v>
      </c>
      <c r="D15" s="8">
        <v>10.199999999999999</v>
      </c>
      <c r="E15" s="12">
        <v>39</v>
      </c>
      <c r="F15" s="8">
        <v>15.85</v>
      </c>
      <c r="G15" s="12">
        <v>7</v>
      </c>
      <c r="H15" s="8">
        <v>3.32</v>
      </c>
      <c r="I15" s="12">
        <v>0</v>
      </c>
    </row>
    <row r="16" spans="2:9" ht="15" customHeight="1" x14ac:dyDescent="0.2">
      <c r="B16" t="s">
        <v>82</v>
      </c>
      <c r="C16" s="12">
        <v>60</v>
      </c>
      <c r="D16" s="8">
        <v>13.02</v>
      </c>
      <c r="E16" s="12">
        <v>44</v>
      </c>
      <c r="F16" s="8">
        <v>17.89</v>
      </c>
      <c r="G16" s="12">
        <v>15</v>
      </c>
      <c r="H16" s="8">
        <v>7.11</v>
      </c>
      <c r="I16" s="12">
        <v>0</v>
      </c>
    </row>
    <row r="17" spans="2:9" ht="15" customHeight="1" x14ac:dyDescent="0.2">
      <c r="B17" t="s">
        <v>83</v>
      </c>
      <c r="C17" s="12">
        <v>17</v>
      </c>
      <c r="D17" s="8">
        <v>3.69</v>
      </c>
      <c r="E17" s="12">
        <v>13</v>
      </c>
      <c r="F17" s="8">
        <v>5.28</v>
      </c>
      <c r="G17" s="12">
        <v>4</v>
      </c>
      <c r="H17" s="8">
        <v>1.9</v>
      </c>
      <c r="I17" s="12">
        <v>0</v>
      </c>
    </row>
    <row r="18" spans="2:9" ht="15" customHeight="1" x14ac:dyDescent="0.2">
      <c r="B18" t="s">
        <v>84</v>
      </c>
      <c r="C18" s="12">
        <v>30</v>
      </c>
      <c r="D18" s="8">
        <v>6.51</v>
      </c>
      <c r="E18" s="12">
        <v>20</v>
      </c>
      <c r="F18" s="8">
        <v>8.1300000000000008</v>
      </c>
      <c r="G18" s="12">
        <v>9</v>
      </c>
      <c r="H18" s="8">
        <v>4.2699999999999996</v>
      </c>
      <c r="I18" s="12">
        <v>0</v>
      </c>
    </row>
    <row r="19" spans="2:9" ht="15" customHeight="1" x14ac:dyDescent="0.2">
      <c r="B19" t="s">
        <v>85</v>
      </c>
      <c r="C19" s="12">
        <v>19</v>
      </c>
      <c r="D19" s="8">
        <v>4.12</v>
      </c>
      <c r="E19" s="12">
        <v>6</v>
      </c>
      <c r="F19" s="8">
        <v>2.44</v>
      </c>
      <c r="G19" s="12">
        <v>12</v>
      </c>
      <c r="H19" s="8">
        <v>5.69</v>
      </c>
      <c r="I19" s="12">
        <v>0</v>
      </c>
    </row>
    <row r="20" spans="2:9" ht="15" customHeight="1" x14ac:dyDescent="0.2">
      <c r="B20" s="9" t="s">
        <v>277</v>
      </c>
      <c r="C20" s="12">
        <f>SUM(LTBL_23441[総数／事業所数])</f>
        <v>461</v>
      </c>
      <c r="E20" s="12">
        <f>SUBTOTAL(109,LTBL_23441[個人／事業所数])</f>
        <v>246</v>
      </c>
      <c r="G20" s="12">
        <f>SUBTOTAL(109,LTBL_23441[法人／事業所数])</f>
        <v>211</v>
      </c>
      <c r="I20" s="12">
        <f>SUBTOTAL(109,LTBL_23441[法人以外の団体／事業所数])</f>
        <v>0</v>
      </c>
    </row>
    <row r="21" spans="2:9" ht="15" customHeight="1" x14ac:dyDescent="0.2">
      <c r="E21" s="11">
        <f>LTBL_23441[[#Totals],[個人／事業所数]]/LTBL_23441[[#Totals],[総数／事業所数]]</f>
        <v>0.53362255965292837</v>
      </c>
      <c r="G21" s="11">
        <f>LTBL_23441[[#Totals],[法人／事業所数]]/LTBL_23441[[#Totals],[総数／事業所数]]</f>
        <v>0.45770065075921906</v>
      </c>
      <c r="I21" s="11">
        <f>LTBL_23441[[#Totals],[法人以外の団体／事業所数]]/LTBL_23441[[#Totals],[総数／事業所数]]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48</v>
      </c>
      <c r="D24" s="8">
        <v>10.41</v>
      </c>
      <c r="E24" s="12">
        <v>41</v>
      </c>
      <c r="F24" s="8">
        <v>16.670000000000002</v>
      </c>
      <c r="G24" s="12">
        <v>7</v>
      </c>
      <c r="H24" s="8">
        <v>3.32</v>
      </c>
      <c r="I24" s="12">
        <v>0</v>
      </c>
    </row>
    <row r="25" spans="2:9" ht="15" customHeight="1" x14ac:dyDescent="0.2">
      <c r="B25" t="s">
        <v>110</v>
      </c>
      <c r="C25" s="12">
        <v>42</v>
      </c>
      <c r="D25" s="8">
        <v>9.11</v>
      </c>
      <c r="E25" s="12">
        <v>38</v>
      </c>
      <c r="F25" s="8">
        <v>15.45</v>
      </c>
      <c r="G25" s="12">
        <v>4</v>
      </c>
      <c r="H25" s="8">
        <v>1.9</v>
      </c>
      <c r="I25" s="12">
        <v>0</v>
      </c>
    </row>
    <row r="26" spans="2:9" ht="15" customHeight="1" x14ac:dyDescent="0.2">
      <c r="B26" t="s">
        <v>95</v>
      </c>
      <c r="C26" s="12">
        <v>40</v>
      </c>
      <c r="D26" s="8">
        <v>8.68</v>
      </c>
      <c r="E26" s="12">
        <v>20</v>
      </c>
      <c r="F26" s="8">
        <v>8.1300000000000008</v>
      </c>
      <c r="G26" s="12">
        <v>20</v>
      </c>
      <c r="H26" s="8">
        <v>9.48</v>
      </c>
      <c r="I26" s="12">
        <v>0</v>
      </c>
    </row>
    <row r="27" spans="2:9" ht="15" customHeight="1" x14ac:dyDescent="0.2">
      <c r="B27" t="s">
        <v>94</v>
      </c>
      <c r="C27" s="12">
        <v>33</v>
      </c>
      <c r="D27" s="8">
        <v>7.16</v>
      </c>
      <c r="E27" s="12">
        <v>6</v>
      </c>
      <c r="F27" s="8">
        <v>2.44</v>
      </c>
      <c r="G27" s="12">
        <v>27</v>
      </c>
      <c r="H27" s="8">
        <v>12.8</v>
      </c>
      <c r="I27" s="12">
        <v>0</v>
      </c>
    </row>
    <row r="28" spans="2:9" ht="15" customHeight="1" x14ac:dyDescent="0.2">
      <c r="B28" t="s">
        <v>104</v>
      </c>
      <c r="C28" s="12">
        <v>26</v>
      </c>
      <c r="D28" s="8">
        <v>5.64</v>
      </c>
      <c r="E28" s="12">
        <v>16</v>
      </c>
      <c r="F28" s="8">
        <v>6.5</v>
      </c>
      <c r="G28" s="12">
        <v>10</v>
      </c>
      <c r="H28" s="8">
        <v>4.74</v>
      </c>
      <c r="I28" s="12">
        <v>0</v>
      </c>
    </row>
    <row r="29" spans="2:9" ht="15" customHeight="1" x14ac:dyDescent="0.2">
      <c r="B29" t="s">
        <v>105</v>
      </c>
      <c r="C29" s="12">
        <v>24</v>
      </c>
      <c r="D29" s="8">
        <v>5.21</v>
      </c>
      <c r="E29" s="12">
        <v>14</v>
      </c>
      <c r="F29" s="8">
        <v>5.69</v>
      </c>
      <c r="G29" s="12">
        <v>10</v>
      </c>
      <c r="H29" s="8">
        <v>4.74</v>
      </c>
      <c r="I29" s="12">
        <v>0</v>
      </c>
    </row>
    <row r="30" spans="2:9" ht="15" customHeight="1" x14ac:dyDescent="0.2">
      <c r="B30" t="s">
        <v>103</v>
      </c>
      <c r="C30" s="12">
        <v>21</v>
      </c>
      <c r="D30" s="8">
        <v>4.5599999999999996</v>
      </c>
      <c r="E30" s="12">
        <v>13</v>
      </c>
      <c r="F30" s="8">
        <v>5.28</v>
      </c>
      <c r="G30" s="12">
        <v>8</v>
      </c>
      <c r="H30" s="8">
        <v>3.79</v>
      </c>
      <c r="I30" s="12">
        <v>0</v>
      </c>
    </row>
    <row r="31" spans="2:9" ht="15" customHeight="1" x14ac:dyDescent="0.2">
      <c r="B31" t="s">
        <v>113</v>
      </c>
      <c r="C31" s="12">
        <v>20</v>
      </c>
      <c r="D31" s="8">
        <v>4.34</v>
      </c>
      <c r="E31" s="12">
        <v>20</v>
      </c>
      <c r="F31" s="8">
        <v>8.1300000000000008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96</v>
      </c>
      <c r="C32" s="12">
        <v>17</v>
      </c>
      <c r="D32" s="8">
        <v>3.69</v>
      </c>
      <c r="E32" s="12">
        <v>6</v>
      </c>
      <c r="F32" s="8">
        <v>2.44</v>
      </c>
      <c r="G32" s="12">
        <v>11</v>
      </c>
      <c r="H32" s="8">
        <v>5.21</v>
      </c>
      <c r="I32" s="12">
        <v>0</v>
      </c>
    </row>
    <row r="33" spans="2:9" ht="15" customHeight="1" x14ac:dyDescent="0.2">
      <c r="B33" t="s">
        <v>112</v>
      </c>
      <c r="C33" s="12">
        <v>17</v>
      </c>
      <c r="D33" s="8">
        <v>3.69</v>
      </c>
      <c r="E33" s="12">
        <v>13</v>
      </c>
      <c r="F33" s="8">
        <v>5.28</v>
      </c>
      <c r="G33" s="12">
        <v>4</v>
      </c>
      <c r="H33" s="8">
        <v>1.9</v>
      </c>
      <c r="I33" s="12">
        <v>0</v>
      </c>
    </row>
    <row r="34" spans="2:9" ht="15" customHeight="1" x14ac:dyDescent="0.2">
      <c r="B34" t="s">
        <v>108</v>
      </c>
      <c r="C34" s="12">
        <v>16</v>
      </c>
      <c r="D34" s="8">
        <v>3.47</v>
      </c>
      <c r="E34" s="12">
        <v>12</v>
      </c>
      <c r="F34" s="8">
        <v>4.88</v>
      </c>
      <c r="G34" s="12">
        <v>4</v>
      </c>
      <c r="H34" s="8">
        <v>1.9</v>
      </c>
      <c r="I34" s="12">
        <v>0</v>
      </c>
    </row>
    <row r="35" spans="2:9" ht="15" customHeight="1" x14ac:dyDescent="0.2">
      <c r="B35" t="s">
        <v>102</v>
      </c>
      <c r="C35" s="12">
        <v>13</v>
      </c>
      <c r="D35" s="8">
        <v>2.82</v>
      </c>
      <c r="E35" s="12">
        <v>8</v>
      </c>
      <c r="F35" s="8">
        <v>3.25</v>
      </c>
      <c r="G35" s="12">
        <v>5</v>
      </c>
      <c r="H35" s="8">
        <v>2.37</v>
      </c>
      <c r="I35" s="12">
        <v>0</v>
      </c>
    </row>
    <row r="36" spans="2:9" ht="15" customHeight="1" x14ac:dyDescent="0.2">
      <c r="B36" t="s">
        <v>107</v>
      </c>
      <c r="C36" s="12">
        <v>13</v>
      </c>
      <c r="D36" s="8">
        <v>2.82</v>
      </c>
      <c r="E36" s="12">
        <v>4</v>
      </c>
      <c r="F36" s="8">
        <v>1.63</v>
      </c>
      <c r="G36" s="12">
        <v>9</v>
      </c>
      <c r="H36" s="8">
        <v>4.2699999999999996</v>
      </c>
      <c r="I36" s="12">
        <v>0</v>
      </c>
    </row>
    <row r="37" spans="2:9" ht="15" customHeight="1" x14ac:dyDescent="0.2">
      <c r="B37" t="s">
        <v>116</v>
      </c>
      <c r="C37" s="12">
        <v>10</v>
      </c>
      <c r="D37" s="8">
        <v>2.17</v>
      </c>
      <c r="E37" s="12">
        <v>0</v>
      </c>
      <c r="F37" s="8">
        <v>0</v>
      </c>
      <c r="G37" s="12">
        <v>9</v>
      </c>
      <c r="H37" s="8">
        <v>4.2699999999999996</v>
      </c>
      <c r="I37" s="12">
        <v>0</v>
      </c>
    </row>
    <row r="38" spans="2:9" ht="15" customHeight="1" x14ac:dyDescent="0.2">
      <c r="B38" t="s">
        <v>115</v>
      </c>
      <c r="C38" s="12">
        <v>9</v>
      </c>
      <c r="D38" s="8">
        <v>1.95</v>
      </c>
      <c r="E38" s="12">
        <v>3</v>
      </c>
      <c r="F38" s="8">
        <v>1.22</v>
      </c>
      <c r="G38" s="12">
        <v>6</v>
      </c>
      <c r="H38" s="8">
        <v>2.84</v>
      </c>
      <c r="I38" s="12">
        <v>0</v>
      </c>
    </row>
    <row r="39" spans="2:9" ht="15" customHeight="1" x14ac:dyDescent="0.2">
      <c r="B39" t="s">
        <v>142</v>
      </c>
      <c r="C39" s="12">
        <v>8</v>
      </c>
      <c r="D39" s="8">
        <v>1.74</v>
      </c>
      <c r="E39" s="12">
        <v>3</v>
      </c>
      <c r="F39" s="8">
        <v>1.22</v>
      </c>
      <c r="G39" s="12">
        <v>5</v>
      </c>
      <c r="H39" s="8">
        <v>2.37</v>
      </c>
      <c r="I39" s="12">
        <v>0</v>
      </c>
    </row>
    <row r="40" spans="2:9" ht="15" customHeight="1" x14ac:dyDescent="0.2">
      <c r="B40" t="s">
        <v>122</v>
      </c>
      <c r="C40" s="12">
        <v>8</v>
      </c>
      <c r="D40" s="8">
        <v>1.74</v>
      </c>
      <c r="E40" s="12">
        <v>3</v>
      </c>
      <c r="F40" s="8">
        <v>1.22</v>
      </c>
      <c r="G40" s="12">
        <v>5</v>
      </c>
      <c r="H40" s="8">
        <v>2.37</v>
      </c>
      <c r="I40" s="12">
        <v>0</v>
      </c>
    </row>
    <row r="41" spans="2:9" ht="15" customHeight="1" x14ac:dyDescent="0.2">
      <c r="B41" t="s">
        <v>101</v>
      </c>
      <c r="C41" s="12">
        <v>7</v>
      </c>
      <c r="D41" s="8">
        <v>1.52</v>
      </c>
      <c r="E41" s="12">
        <v>1</v>
      </c>
      <c r="F41" s="8">
        <v>0.41</v>
      </c>
      <c r="G41" s="12">
        <v>6</v>
      </c>
      <c r="H41" s="8">
        <v>2.84</v>
      </c>
      <c r="I41" s="12">
        <v>0</v>
      </c>
    </row>
    <row r="42" spans="2:9" ht="15" customHeight="1" x14ac:dyDescent="0.2">
      <c r="B42" t="s">
        <v>109</v>
      </c>
      <c r="C42" s="12">
        <v>6</v>
      </c>
      <c r="D42" s="8">
        <v>1.3</v>
      </c>
      <c r="E42" s="12">
        <v>4</v>
      </c>
      <c r="F42" s="8">
        <v>1.63</v>
      </c>
      <c r="G42" s="12">
        <v>2</v>
      </c>
      <c r="H42" s="8">
        <v>0.95</v>
      </c>
      <c r="I42" s="12">
        <v>0</v>
      </c>
    </row>
    <row r="43" spans="2:9" ht="15" customHeight="1" x14ac:dyDescent="0.2">
      <c r="B43" t="s">
        <v>143</v>
      </c>
      <c r="C43" s="12">
        <v>6</v>
      </c>
      <c r="D43" s="8">
        <v>1.3</v>
      </c>
      <c r="E43" s="12">
        <v>2</v>
      </c>
      <c r="F43" s="8">
        <v>0.81</v>
      </c>
      <c r="G43" s="12">
        <v>4</v>
      </c>
      <c r="H43" s="8">
        <v>1.9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168</v>
      </c>
      <c r="C47" s="12">
        <v>24</v>
      </c>
      <c r="D47" s="8">
        <v>5.21</v>
      </c>
      <c r="E47" s="12">
        <v>21</v>
      </c>
      <c r="F47" s="8">
        <v>8.5399999999999991</v>
      </c>
      <c r="G47" s="12">
        <v>3</v>
      </c>
      <c r="H47" s="8">
        <v>1.42</v>
      </c>
      <c r="I47" s="12">
        <v>0</v>
      </c>
    </row>
    <row r="48" spans="2:9" ht="15" customHeight="1" x14ac:dyDescent="0.2">
      <c r="B48" t="s">
        <v>156</v>
      </c>
      <c r="C48" s="12">
        <v>18</v>
      </c>
      <c r="D48" s="8">
        <v>3.9</v>
      </c>
      <c r="E48" s="12">
        <v>10</v>
      </c>
      <c r="F48" s="8">
        <v>4.07</v>
      </c>
      <c r="G48" s="12">
        <v>8</v>
      </c>
      <c r="H48" s="8">
        <v>3.79</v>
      </c>
      <c r="I48" s="12">
        <v>0</v>
      </c>
    </row>
    <row r="49" spans="2:9" ht="15" customHeight="1" x14ac:dyDescent="0.2">
      <c r="B49" t="s">
        <v>163</v>
      </c>
      <c r="C49" s="12">
        <v>18</v>
      </c>
      <c r="D49" s="8">
        <v>3.9</v>
      </c>
      <c r="E49" s="12">
        <v>14</v>
      </c>
      <c r="F49" s="8">
        <v>5.69</v>
      </c>
      <c r="G49" s="12">
        <v>4</v>
      </c>
      <c r="H49" s="8">
        <v>1.9</v>
      </c>
      <c r="I49" s="12">
        <v>0</v>
      </c>
    </row>
    <row r="50" spans="2:9" ht="15" customHeight="1" x14ac:dyDescent="0.2">
      <c r="B50" t="s">
        <v>167</v>
      </c>
      <c r="C50" s="12">
        <v>15</v>
      </c>
      <c r="D50" s="8">
        <v>3.25</v>
      </c>
      <c r="E50" s="12">
        <v>14</v>
      </c>
      <c r="F50" s="8">
        <v>5.69</v>
      </c>
      <c r="G50" s="12">
        <v>1</v>
      </c>
      <c r="H50" s="8">
        <v>0.47</v>
      </c>
      <c r="I50" s="12">
        <v>0</v>
      </c>
    </row>
    <row r="51" spans="2:9" ht="15" customHeight="1" x14ac:dyDescent="0.2">
      <c r="B51" t="s">
        <v>171</v>
      </c>
      <c r="C51" s="12">
        <v>14</v>
      </c>
      <c r="D51" s="8">
        <v>3.04</v>
      </c>
      <c r="E51" s="12">
        <v>14</v>
      </c>
      <c r="F51" s="8">
        <v>5.69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243</v>
      </c>
      <c r="C52" s="12">
        <v>12</v>
      </c>
      <c r="D52" s="8">
        <v>2.6</v>
      </c>
      <c r="E52" s="12">
        <v>7</v>
      </c>
      <c r="F52" s="8">
        <v>2.85</v>
      </c>
      <c r="G52" s="12">
        <v>5</v>
      </c>
      <c r="H52" s="8">
        <v>2.37</v>
      </c>
      <c r="I52" s="12">
        <v>0</v>
      </c>
    </row>
    <row r="53" spans="2:9" ht="15" customHeight="1" x14ac:dyDescent="0.2">
      <c r="B53" t="s">
        <v>170</v>
      </c>
      <c r="C53" s="12">
        <v>12</v>
      </c>
      <c r="D53" s="8">
        <v>2.6</v>
      </c>
      <c r="E53" s="12">
        <v>10</v>
      </c>
      <c r="F53" s="8">
        <v>4.07</v>
      </c>
      <c r="G53" s="12">
        <v>2</v>
      </c>
      <c r="H53" s="8">
        <v>0.95</v>
      </c>
      <c r="I53" s="12">
        <v>0</v>
      </c>
    </row>
    <row r="54" spans="2:9" ht="15" customHeight="1" x14ac:dyDescent="0.2">
      <c r="B54" t="s">
        <v>153</v>
      </c>
      <c r="C54" s="12">
        <v>11</v>
      </c>
      <c r="D54" s="8">
        <v>2.39</v>
      </c>
      <c r="E54" s="12">
        <v>1</v>
      </c>
      <c r="F54" s="8">
        <v>0.41</v>
      </c>
      <c r="G54" s="12">
        <v>10</v>
      </c>
      <c r="H54" s="8">
        <v>4.74</v>
      </c>
      <c r="I54" s="12">
        <v>0</v>
      </c>
    </row>
    <row r="55" spans="2:9" ht="15" customHeight="1" x14ac:dyDescent="0.2">
      <c r="B55" t="s">
        <v>154</v>
      </c>
      <c r="C55" s="12">
        <v>11</v>
      </c>
      <c r="D55" s="8">
        <v>2.39</v>
      </c>
      <c r="E55" s="12">
        <v>3</v>
      </c>
      <c r="F55" s="8">
        <v>1.22</v>
      </c>
      <c r="G55" s="12">
        <v>8</v>
      </c>
      <c r="H55" s="8">
        <v>3.79</v>
      </c>
      <c r="I55" s="12">
        <v>0</v>
      </c>
    </row>
    <row r="56" spans="2:9" ht="15" customHeight="1" x14ac:dyDescent="0.2">
      <c r="B56" t="s">
        <v>158</v>
      </c>
      <c r="C56" s="12">
        <v>10</v>
      </c>
      <c r="D56" s="8">
        <v>2.17</v>
      </c>
      <c r="E56" s="12">
        <v>5</v>
      </c>
      <c r="F56" s="8">
        <v>2.0299999999999998</v>
      </c>
      <c r="G56" s="12">
        <v>5</v>
      </c>
      <c r="H56" s="8">
        <v>2.37</v>
      </c>
      <c r="I56" s="12">
        <v>0</v>
      </c>
    </row>
    <row r="57" spans="2:9" ht="15" customHeight="1" x14ac:dyDescent="0.2">
      <c r="B57" t="s">
        <v>165</v>
      </c>
      <c r="C57" s="12">
        <v>10</v>
      </c>
      <c r="D57" s="8">
        <v>2.17</v>
      </c>
      <c r="E57" s="12">
        <v>10</v>
      </c>
      <c r="F57" s="8">
        <v>4.07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152</v>
      </c>
      <c r="C58" s="12">
        <v>9</v>
      </c>
      <c r="D58" s="8">
        <v>1.95</v>
      </c>
      <c r="E58" s="12">
        <v>0</v>
      </c>
      <c r="F58" s="8">
        <v>0</v>
      </c>
      <c r="G58" s="12">
        <v>9</v>
      </c>
      <c r="H58" s="8">
        <v>4.2699999999999996</v>
      </c>
      <c r="I58" s="12">
        <v>0</v>
      </c>
    </row>
    <row r="59" spans="2:9" ht="15" customHeight="1" x14ac:dyDescent="0.2">
      <c r="B59" t="s">
        <v>199</v>
      </c>
      <c r="C59" s="12">
        <v>9</v>
      </c>
      <c r="D59" s="8">
        <v>1.95</v>
      </c>
      <c r="E59" s="12">
        <v>2</v>
      </c>
      <c r="F59" s="8">
        <v>0.81</v>
      </c>
      <c r="G59" s="12">
        <v>7</v>
      </c>
      <c r="H59" s="8">
        <v>3.32</v>
      </c>
      <c r="I59" s="12">
        <v>0</v>
      </c>
    </row>
    <row r="60" spans="2:9" ht="15" customHeight="1" x14ac:dyDescent="0.2">
      <c r="B60" t="s">
        <v>205</v>
      </c>
      <c r="C60" s="12">
        <v>8</v>
      </c>
      <c r="D60" s="8">
        <v>1.74</v>
      </c>
      <c r="E60" s="12">
        <v>3</v>
      </c>
      <c r="F60" s="8">
        <v>1.22</v>
      </c>
      <c r="G60" s="12">
        <v>5</v>
      </c>
      <c r="H60" s="8">
        <v>2.37</v>
      </c>
      <c r="I60" s="12">
        <v>0</v>
      </c>
    </row>
    <row r="61" spans="2:9" ht="15" customHeight="1" x14ac:dyDescent="0.2">
      <c r="B61" t="s">
        <v>186</v>
      </c>
      <c r="C61" s="12">
        <v>8</v>
      </c>
      <c r="D61" s="8">
        <v>1.74</v>
      </c>
      <c r="E61" s="12">
        <v>2</v>
      </c>
      <c r="F61" s="8">
        <v>0.81</v>
      </c>
      <c r="G61" s="12">
        <v>6</v>
      </c>
      <c r="H61" s="8">
        <v>2.84</v>
      </c>
      <c r="I61" s="12">
        <v>0</v>
      </c>
    </row>
    <row r="62" spans="2:9" ht="15" customHeight="1" x14ac:dyDescent="0.2">
      <c r="B62" t="s">
        <v>188</v>
      </c>
      <c r="C62" s="12">
        <v>8</v>
      </c>
      <c r="D62" s="8">
        <v>1.74</v>
      </c>
      <c r="E62" s="12">
        <v>3</v>
      </c>
      <c r="F62" s="8">
        <v>1.22</v>
      </c>
      <c r="G62" s="12">
        <v>5</v>
      </c>
      <c r="H62" s="8">
        <v>2.37</v>
      </c>
      <c r="I62" s="12">
        <v>0</v>
      </c>
    </row>
    <row r="63" spans="2:9" ht="15" customHeight="1" x14ac:dyDescent="0.2">
      <c r="B63" t="s">
        <v>210</v>
      </c>
      <c r="C63" s="12">
        <v>7</v>
      </c>
      <c r="D63" s="8">
        <v>1.52</v>
      </c>
      <c r="E63" s="12">
        <v>7</v>
      </c>
      <c r="F63" s="8">
        <v>2.85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198</v>
      </c>
      <c r="C64" s="12">
        <v>7</v>
      </c>
      <c r="D64" s="8">
        <v>1.52</v>
      </c>
      <c r="E64" s="12">
        <v>5</v>
      </c>
      <c r="F64" s="8">
        <v>2.0299999999999998</v>
      </c>
      <c r="G64" s="12">
        <v>2</v>
      </c>
      <c r="H64" s="8">
        <v>0.95</v>
      </c>
      <c r="I64" s="12">
        <v>0</v>
      </c>
    </row>
    <row r="65" spans="2:9" ht="15" customHeight="1" x14ac:dyDescent="0.2">
      <c r="B65" t="s">
        <v>200</v>
      </c>
      <c r="C65" s="12">
        <v>6</v>
      </c>
      <c r="D65" s="8">
        <v>1.3</v>
      </c>
      <c r="E65" s="12">
        <v>2</v>
      </c>
      <c r="F65" s="8">
        <v>0.81</v>
      </c>
      <c r="G65" s="12">
        <v>4</v>
      </c>
      <c r="H65" s="8">
        <v>1.9</v>
      </c>
      <c r="I65" s="12">
        <v>0</v>
      </c>
    </row>
    <row r="66" spans="2:9" ht="15" customHeight="1" x14ac:dyDescent="0.2">
      <c r="B66" t="s">
        <v>173</v>
      </c>
      <c r="C66" s="12">
        <v>6</v>
      </c>
      <c r="D66" s="8">
        <v>1.3</v>
      </c>
      <c r="E66" s="12">
        <v>1</v>
      </c>
      <c r="F66" s="8">
        <v>0.41</v>
      </c>
      <c r="G66" s="12">
        <v>5</v>
      </c>
      <c r="H66" s="8">
        <v>2.37</v>
      </c>
      <c r="I66" s="12">
        <v>0</v>
      </c>
    </row>
    <row r="67" spans="2:9" ht="15" customHeight="1" x14ac:dyDescent="0.2">
      <c r="B67" t="s">
        <v>176</v>
      </c>
      <c r="C67" s="12">
        <v>6</v>
      </c>
      <c r="D67" s="8">
        <v>1.3</v>
      </c>
      <c r="E67" s="12">
        <v>6</v>
      </c>
      <c r="F67" s="8">
        <v>2.44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179</v>
      </c>
      <c r="C68" s="12">
        <v>6</v>
      </c>
      <c r="D68" s="8">
        <v>1.3</v>
      </c>
      <c r="E68" s="12">
        <v>5</v>
      </c>
      <c r="F68" s="8">
        <v>2.0299999999999998</v>
      </c>
      <c r="G68" s="12">
        <v>1</v>
      </c>
      <c r="H68" s="8">
        <v>0.47</v>
      </c>
      <c r="I68" s="12">
        <v>0</v>
      </c>
    </row>
    <row r="69" spans="2:9" ht="15" customHeight="1" x14ac:dyDescent="0.2">
      <c r="B69" t="s">
        <v>226</v>
      </c>
      <c r="C69" s="12">
        <v>6</v>
      </c>
      <c r="D69" s="8">
        <v>1.3</v>
      </c>
      <c r="E69" s="12">
        <v>0</v>
      </c>
      <c r="F69" s="8">
        <v>0</v>
      </c>
      <c r="G69" s="12">
        <v>6</v>
      </c>
      <c r="H69" s="8">
        <v>2.84</v>
      </c>
      <c r="I69" s="12">
        <v>0</v>
      </c>
    </row>
    <row r="71" spans="2:9" ht="15" customHeight="1" x14ac:dyDescent="0.2">
      <c r="B71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D835-C38E-4C2F-A3EE-4F702CEF50C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343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110</v>
      </c>
      <c r="D6" s="8">
        <v>14.88</v>
      </c>
      <c r="E6" s="12">
        <v>34</v>
      </c>
      <c r="F6" s="8">
        <v>9.74</v>
      </c>
      <c r="G6" s="12">
        <v>76</v>
      </c>
      <c r="H6" s="8">
        <v>20</v>
      </c>
      <c r="I6" s="12">
        <v>0</v>
      </c>
    </row>
    <row r="7" spans="2:9" ht="15" customHeight="1" x14ac:dyDescent="0.2">
      <c r="B7" t="s">
        <v>73</v>
      </c>
      <c r="C7" s="12">
        <v>102</v>
      </c>
      <c r="D7" s="8">
        <v>13.8</v>
      </c>
      <c r="E7" s="12">
        <v>31</v>
      </c>
      <c r="F7" s="8">
        <v>8.8800000000000008</v>
      </c>
      <c r="G7" s="12">
        <v>71</v>
      </c>
      <c r="H7" s="8">
        <v>18.68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2">
      <c r="B9" t="s">
        <v>75</v>
      </c>
      <c r="C9" s="12">
        <v>5</v>
      </c>
      <c r="D9" s="8">
        <v>0.68</v>
      </c>
      <c r="E9" s="12">
        <v>1</v>
      </c>
      <c r="F9" s="8">
        <v>0.28999999999999998</v>
      </c>
      <c r="G9" s="12">
        <v>4</v>
      </c>
      <c r="H9" s="8">
        <v>1.05</v>
      </c>
      <c r="I9" s="12">
        <v>0</v>
      </c>
    </row>
    <row r="10" spans="2:9" ht="15" customHeight="1" x14ac:dyDescent="0.2">
      <c r="B10" t="s">
        <v>76</v>
      </c>
      <c r="C10" s="12">
        <v>8</v>
      </c>
      <c r="D10" s="8">
        <v>1.08</v>
      </c>
      <c r="E10" s="12">
        <v>2</v>
      </c>
      <c r="F10" s="8">
        <v>0.56999999999999995</v>
      </c>
      <c r="G10" s="12">
        <v>6</v>
      </c>
      <c r="H10" s="8">
        <v>1.58</v>
      </c>
      <c r="I10" s="12">
        <v>0</v>
      </c>
    </row>
    <row r="11" spans="2:9" ht="15" customHeight="1" x14ac:dyDescent="0.2">
      <c r="B11" t="s">
        <v>77</v>
      </c>
      <c r="C11" s="12">
        <v>157</v>
      </c>
      <c r="D11" s="8">
        <v>21.24</v>
      </c>
      <c r="E11" s="12">
        <v>70</v>
      </c>
      <c r="F11" s="8">
        <v>20.059999999999999</v>
      </c>
      <c r="G11" s="12">
        <v>87</v>
      </c>
      <c r="H11" s="8">
        <v>22.89</v>
      </c>
      <c r="I11" s="12">
        <v>0</v>
      </c>
    </row>
    <row r="12" spans="2:9" ht="15" customHeight="1" x14ac:dyDescent="0.2">
      <c r="B12" t="s">
        <v>78</v>
      </c>
      <c r="C12" s="12">
        <v>7</v>
      </c>
      <c r="D12" s="8">
        <v>0.95</v>
      </c>
      <c r="E12" s="12">
        <v>3</v>
      </c>
      <c r="F12" s="8">
        <v>0.86</v>
      </c>
      <c r="G12" s="12">
        <v>4</v>
      </c>
      <c r="H12" s="8">
        <v>1.05</v>
      </c>
      <c r="I12" s="12">
        <v>0</v>
      </c>
    </row>
    <row r="13" spans="2:9" ht="15" customHeight="1" x14ac:dyDescent="0.2">
      <c r="B13" t="s">
        <v>79</v>
      </c>
      <c r="C13" s="12">
        <v>77</v>
      </c>
      <c r="D13" s="8">
        <v>10.42</v>
      </c>
      <c r="E13" s="12">
        <v>25</v>
      </c>
      <c r="F13" s="8">
        <v>7.16</v>
      </c>
      <c r="G13" s="12">
        <v>52</v>
      </c>
      <c r="H13" s="8">
        <v>13.68</v>
      </c>
      <c r="I13" s="12">
        <v>0</v>
      </c>
    </row>
    <row r="14" spans="2:9" ht="15" customHeight="1" x14ac:dyDescent="0.2">
      <c r="B14" t="s">
        <v>80</v>
      </c>
      <c r="C14" s="12">
        <v>33</v>
      </c>
      <c r="D14" s="8">
        <v>4.47</v>
      </c>
      <c r="E14" s="12">
        <v>18</v>
      </c>
      <c r="F14" s="8">
        <v>5.16</v>
      </c>
      <c r="G14" s="12">
        <v>14</v>
      </c>
      <c r="H14" s="8">
        <v>3.68</v>
      </c>
      <c r="I14" s="12">
        <v>1</v>
      </c>
    </row>
    <row r="15" spans="2:9" ht="15" customHeight="1" x14ac:dyDescent="0.2">
      <c r="B15" t="s">
        <v>81</v>
      </c>
      <c r="C15" s="12">
        <v>62</v>
      </c>
      <c r="D15" s="8">
        <v>8.39</v>
      </c>
      <c r="E15" s="12">
        <v>50</v>
      </c>
      <c r="F15" s="8">
        <v>14.33</v>
      </c>
      <c r="G15" s="12">
        <v>12</v>
      </c>
      <c r="H15" s="8">
        <v>3.16</v>
      </c>
      <c r="I15" s="12">
        <v>0</v>
      </c>
    </row>
    <row r="16" spans="2:9" ht="15" customHeight="1" x14ac:dyDescent="0.2">
      <c r="B16" t="s">
        <v>82</v>
      </c>
      <c r="C16" s="12">
        <v>74</v>
      </c>
      <c r="D16" s="8">
        <v>10.01</v>
      </c>
      <c r="E16" s="12">
        <v>62</v>
      </c>
      <c r="F16" s="8">
        <v>17.77</v>
      </c>
      <c r="G16" s="12">
        <v>12</v>
      </c>
      <c r="H16" s="8">
        <v>3.16</v>
      </c>
      <c r="I16" s="12">
        <v>0</v>
      </c>
    </row>
    <row r="17" spans="2:9" ht="15" customHeight="1" x14ac:dyDescent="0.2">
      <c r="B17" t="s">
        <v>83</v>
      </c>
      <c r="C17" s="12">
        <v>34</v>
      </c>
      <c r="D17" s="8">
        <v>4.5999999999999996</v>
      </c>
      <c r="E17" s="12">
        <v>21</v>
      </c>
      <c r="F17" s="8">
        <v>6.02</v>
      </c>
      <c r="G17" s="12">
        <v>7</v>
      </c>
      <c r="H17" s="8">
        <v>1.84</v>
      </c>
      <c r="I17" s="12">
        <v>0</v>
      </c>
    </row>
    <row r="18" spans="2:9" ht="15" customHeight="1" x14ac:dyDescent="0.2">
      <c r="B18" t="s">
        <v>84</v>
      </c>
      <c r="C18" s="12">
        <v>47</v>
      </c>
      <c r="D18" s="8">
        <v>6.36</v>
      </c>
      <c r="E18" s="12">
        <v>28</v>
      </c>
      <c r="F18" s="8">
        <v>8.02</v>
      </c>
      <c r="G18" s="12">
        <v>19</v>
      </c>
      <c r="H18" s="8">
        <v>5</v>
      </c>
      <c r="I18" s="12">
        <v>0</v>
      </c>
    </row>
    <row r="19" spans="2:9" ht="15" customHeight="1" x14ac:dyDescent="0.2">
      <c r="B19" t="s">
        <v>85</v>
      </c>
      <c r="C19" s="12">
        <v>22</v>
      </c>
      <c r="D19" s="8">
        <v>2.98</v>
      </c>
      <c r="E19" s="12">
        <v>4</v>
      </c>
      <c r="F19" s="8">
        <v>1.1499999999999999</v>
      </c>
      <c r="G19" s="12">
        <v>15</v>
      </c>
      <c r="H19" s="8">
        <v>3.95</v>
      </c>
      <c r="I19" s="12">
        <v>0</v>
      </c>
    </row>
    <row r="20" spans="2:9" ht="15" customHeight="1" x14ac:dyDescent="0.2">
      <c r="B20" s="9" t="s">
        <v>277</v>
      </c>
      <c r="C20" s="12">
        <f>SUM(LTBL_23442[総数／事業所数])</f>
        <v>739</v>
      </c>
      <c r="E20" s="12">
        <f>SUBTOTAL(109,LTBL_23442[個人／事業所数])</f>
        <v>349</v>
      </c>
      <c r="G20" s="12">
        <f>SUBTOTAL(109,LTBL_23442[法人／事業所数])</f>
        <v>380</v>
      </c>
      <c r="I20" s="12">
        <f>SUBTOTAL(109,LTBL_23442[法人以外の団体／事業所数])</f>
        <v>1</v>
      </c>
    </row>
    <row r="21" spans="2:9" ht="15" customHeight="1" x14ac:dyDescent="0.2">
      <c r="E21" s="11">
        <f>LTBL_23442[[#Totals],[個人／事業所数]]/LTBL_23442[[#Totals],[総数／事業所数]]</f>
        <v>0.47225981055480382</v>
      </c>
      <c r="G21" s="11">
        <f>LTBL_23442[[#Totals],[法人／事業所数]]/LTBL_23442[[#Totals],[総数／事業所数]]</f>
        <v>0.51420838971583216</v>
      </c>
      <c r="I21" s="11">
        <f>LTBL_23442[[#Totals],[法人以外の団体／事業所数]]/LTBL_23442[[#Totals],[総数／事業所数]]</f>
        <v>1.3531799729364006E-3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69</v>
      </c>
      <c r="D24" s="8">
        <v>9.34</v>
      </c>
      <c r="E24" s="12">
        <v>20</v>
      </c>
      <c r="F24" s="8">
        <v>5.73</v>
      </c>
      <c r="G24" s="12">
        <v>49</v>
      </c>
      <c r="H24" s="8">
        <v>12.89</v>
      </c>
      <c r="I24" s="12">
        <v>0</v>
      </c>
    </row>
    <row r="25" spans="2:9" ht="15" customHeight="1" x14ac:dyDescent="0.2">
      <c r="B25" t="s">
        <v>111</v>
      </c>
      <c r="C25" s="12">
        <v>58</v>
      </c>
      <c r="D25" s="8">
        <v>7.85</v>
      </c>
      <c r="E25" s="12">
        <v>55</v>
      </c>
      <c r="F25" s="8">
        <v>15.76</v>
      </c>
      <c r="G25" s="12">
        <v>3</v>
      </c>
      <c r="H25" s="8">
        <v>0.79</v>
      </c>
      <c r="I25" s="12">
        <v>0</v>
      </c>
    </row>
    <row r="26" spans="2:9" ht="15" customHeight="1" x14ac:dyDescent="0.2">
      <c r="B26" t="s">
        <v>110</v>
      </c>
      <c r="C26" s="12">
        <v>56</v>
      </c>
      <c r="D26" s="8">
        <v>7.58</v>
      </c>
      <c r="E26" s="12">
        <v>45</v>
      </c>
      <c r="F26" s="8">
        <v>12.89</v>
      </c>
      <c r="G26" s="12">
        <v>11</v>
      </c>
      <c r="H26" s="8">
        <v>2.89</v>
      </c>
      <c r="I26" s="12">
        <v>0</v>
      </c>
    </row>
    <row r="27" spans="2:9" ht="15" customHeight="1" x14ac:dyDescent="0.2">
      <c r="B27" t="s">
        <v>105</v>
      </c>
      <c r="C27" s="12">
        <v>45</v>
      </c>
      <c r="D27" s="8">
        <v>6.09</v>
      </c>
      <c r="E27" s="12">
        <v>21</v>
      </c>
      <c r="F27" s="8">
        <v>6.02</v>
      </c>
      <c r="G27" s="12">
        <v>24</v>
      </c>
      <c r="H27" s="8">
        <v>6.32</v>
      </c>
      <c r="I27" s="12">
        <v>0</v>
      </c>
    </row>
    <row r="28" spans="2:9" ht="15" customHeight="1" x14ac:dyDescent="0.2">
      <c r="B28" t="s">
        <v>94</v>
      </c>
      <c r="C28" s="12">
        <v>43</v>
      </c>
      <c r="D28" s="8">
        <v>5.82</v>
      </c>
      <c r="E28" s="12">
        <v>12</v>
      </c>
      <c r="F28" s="8">
        <v>3.44</v>
      </c>
      <c r="G28" s="12">
        <v>31</v>
      </c>
      <c r="H28" s="8">
        <v>8.16</v>
      </c>
      <c r="I28" s="12">
        <v>0</v>
      </c>
    </row>
    <row r="29" spans="2:9" ht="15" customHeight="1" x14ac:dyDescent="0.2">
      <c r="B29" t="s">
        <v>96</v>
      </c>
      <c r="C29" s="12">
        <v>34</v>
      </c>
      <c r="D29" s="8">
        <v>4.5999999999999996</v>
      </c>
      <c r="E29" s="12">
        <v>9</v>
      </c>
      <c r="F29" s="8">
        <v>2.58</v>
      </c>
      <c r="G29" s="12">
        <v>25</v>
      </c>
      <c r="H29" s="8">
        <v>6.58</v>
      </c>
      <c r="I29" s="12">
        <v>0</v>
      </c>
    </row>
    <row r="30" spans="2:9" ht="15" customHeight="1" x14ac:dyDescent="0.2">
      <c r="B30" t="s">
        <v>112</v>
      </c>
      <c r="C30" s="12">
        <v>34</v>
      </c>
      <c r="D30" s="8">
        <v>4.5999999999999996</v>
      </c>
      <c r="E30" s="12">
        <v>21</v>
      </c>
      <c r="F30" s="8">
        <v>6.02</v>
      </c>
      <c r="G30" s="12">
        <v>7</v>
      </c>
      <c r="H30" s="8">
        <v>1.84</v>
      </c>
      <c r="I30" s="12">
        <v>0</v>
      </c>
    </row>
    <row r="31" spans="2:9" ht="15" customHeight="1" x14ac:dyDescent="0.2">
      <c r="B31" t="s">
        <v>113</v>
      </c>
      <c r="C31" s="12">
        <v>34</v>
      </c>
      <c r="D31" s="8">
        <v>4.5999999999999996</v>
      </c>
      <c r="E31" s="12">
        <v>28</v>
      </c>
      <c r="F31" s="8">
        <v>8.02</v>
      </c>
      <c r="G31" s="12">
        <v>6</v>
      </c>
      <c r="H31" s="8">
        <v>1.58</v>
      </c>
      <c r="I31" s="12">
        <v>0</v>
      </c>
    </row>
    <row r="32" spans="2:9" ht="15" customHeight="1" x14ac:dyDescent="0.2">
      <c r="B32" t="s">
        <v>95</v>
      </c>
      <c r="C32" s="12">
        <v>33</v>
      </c>
      <c r="D32" s="8">
        <v>4.47</v>
      </c>
      <c r="E32" s="12">
        <v>13</v>
      </c>
      <c r="F32" s="8">
        <v>3.72</v>
      </c>
      <c r="G32" s="12">
        <v>20</v>
      </c>
      <c r="H32" s="8">
        <v>5.26</v>
      </c>
      <c r="I32" s="12">
        <v>0</v>
      </c>
    </row>
    <row r="33" spans="2:9" ht="15" customHeight="1" x14ac:dyDescent="0.2">
      <c r="B33" t="s">
        <v>102</v>
      </c>
      <c r="C33" s="12">
        <v>32</v>
      </c>
      <c r="D33" s="8">
        <v>4.33</v>
      </c>
      <c r="E33" s="12">
        <v>11</v>
      </c>
      <c r="F33" s="8">
        <v>3.15</v>
      </c>
      <c r="G33" s="12">
        <v>21</v>
      </c>
      <c r="H33" s="8">
        <v>5.53</v>
      </c>
      <c r="I33" s="12">
        <v>0</v>
      </c>
    </row>
    <row r="34" spans="2:9" ht="15" customHeight="1" x14ac:dyDescent="0.2">
      <c r="B34" t="s">
        <v>103</v>
      </c>
      <c r="C34" s="12">
        <v>26</v>
      </c>
      <c r="D34" s="8">
        <v>3.52</v>
      </c>
      <c r="E34" s="12">
        <v>17</v>
      </c>
      <c r="F34" s="8">
        <v>4.87</v>
      </c>
      <c r="G34" s="12">
        <v>9</v>
      </c>
      <c r="H34" s="8">
        <v>2.37</v>
      </c>
      <c r="I34" s="12">
        <v>0</v>
      </c>
    </row>
    <row r="35" spans="2:9" ht="15" customHeight="1" x14ac:dyDescent="0.2">
      <c r="B35" t="s">
        <v>98</v>
      </c>
      <c r="C35" s="12">
        <v>24</v>
      </c>
      <c r="D35" s="8">
        <v>3.25</v>
      </c>
      <c r="E35" s="12">
        <v>2</v>
      </c>
      <c r="F35" s="8">
        <v>0.56999999999999995</v>
      </c>
      <c r="G35" s="12">
        <v>22</v>
      </c>
      <c r="H35" s="8">
        <v>5.79</v>
      </c>
      <c r="I35" s="12">
        <v>0</v>
      </c>
    </row>
    <row r="36" spans="2:9" ht="15" customHeight="1" x14ac:dyDescent="0.2">
      <c r="B36" t="s">
        <v>104</v>
      </c>
      <c r="C36" s="12">
        <v>22</v>
      </c>
      <c r="D36" s="8">
        <v>2.98</v>
      </c>
      <c r="E36" s="12">
        <v>13</v>
      </c>
      <c r="F36" s="8">
        <v>3.72</v>
      </c>
      <c r="G36" s="12">
        <v>9</v>
      </c>
      <c r="H36" s="8">
        <v>2.37</v>
      </c>
      <c r="I36" s="12">
        <v>0</v>
      </c>
    </row>
    <row r="37" spans="2:9" ht="15" customHeight="1" x14ac:dyDescent="0.2">
      <c r="B37" t="s">
        <v>124</v>
      </c>
      <c r="C37" s="12">
        <v>19</v>
      </c>
      <c r="D37" s="8">
        <v>2.57</v>
      </c>
      <c r="E37" s="12">
        <v>5</v>
      </c>
      <c r="F37" s="8">
        <v>1.43</v>
      </c>
      <c r="G37" s="12">
        <v>14</v>
      </c>
      <c r="H37" s="8">
        <v>3.68</v>
      </c>
      <c r="I37" s="12">
        <v>0</v>
      </c>
    </row>
    <row r="38" spans="2:9" ht="15" customHeight="1" x14ac:dyDescent="0.2">
      <c r="B38" t="s">
        <v>108</v>
      </c>
      <c r="C38" s="12">
        <v>19</v>
      </c>
      <c r="D38" s="8">
        <v>2.57</v>
      </c>
      <c r="E38" s="12">
        <v>11</v>
      </c>
      <c r="F38" s="8">
        <v>3.15</v>
      </c>
      <c r="G38" s="12">
        <v>7</v>
      </c>
      <c r="H38" s="8">
        <v>1.84</v>
      </c>
      <c r="I38" s="12">
        <v>1</v>
      </c>
    </row>
    <row r="39" spans="2:9" ht="15" customHeight="1" x14ac:dyDescent="0.2">
      <c r="B39" t="s">
        <v>109</v>
      </c>
      <c r="C39" s="12">
        <v>13</v>
      </c>
      <c r="D39" s="8">
        <v>1.76</v>
      </c>
      <c r="E39" s="12">
        <v>7</v>
      </c>
      <c r="F39" s="8">
        <v>2.0099999999999998</v>
      </c>
      <c r="G39" s="12">
        <v>6</v>
      </c>
      <c r="H39" s="8">
        <v>1.58</v>
      </c>
      <c r="I39" s="12">
        <v>0</v>
      </c>
    </row>
    <row r="40" spans="2:9" ht="15" customHeight="1" x14ac:dyDescent="0.2">
      <c r="B40" t="s">
        <v>116</v>
      </c>
      <c r="C40" s="12">
        <v>13</v>
      </c>
      <c r="D40" s="8">
        <v>1.76</v>
      </c>
      <c r="E40" s="12">
        <v>0</v>
      </c>
      <c r="F40" s="8">
        <v>0</v>
      </c>
      <c r="G40" s="12">
        <v>13</v>
      </c>
      <c r="H40" s="8">
        <v>3.42</v>
      </c>
      <c r="I40" s="12">
        <v>0</v>
      </c>
    </row>
    <row r="41" spans="2:9" ht="15" customHeight="1" x14ac:dyDescent="0.2">
      <c r="B41" t="s">
        <v>115</v>
      </c>
      <c r="C41" s="12">
        <v>12</v>
      </c>
      <c r="D41" s="8">
        <v>1.62</v>
      </c>
      <c r="E41" s="12">
        <v>5</v>
      </c>
      <c r="F41" s="8">
        <v>1.43</v>
      </c>
      <c r="G41" s="12">
        <v>7</v>
      </c>
      <c r="H41" s="8">
        <v>1.84</v>
      </c>
      <c r="I41" s="12">
        <v>0</v>
      </c>
    </row>
    <row r="42" spans="2:9" ht="15" customHeight="1" x14ac:dyDescent="0.2">
      <c r="B42" t="s">
        <v>131</v>
      </c>
      <c r="C42" s="12">
        <v>10</v>
      </c>
      <c r="D42" s="8">
        <v>1.35</v>
      </c>
      <c r="E42" s="12">
        <v>5</v>
      </c>
      <c r="F42" s="8">
        <v>1.43</v>
      </c>
      <c r="G42" s="12">
        <v>5</v>
      </c>
      <c r="H42" s="8">
        <v>1.32</v>
      </c>
      <c r="I42" s="12">
        <v>0</v>
      </c>
    </row>
    <row r="43" spans="2:9" ht="15" customHeight="1" x14ac:dyDescent="0.2">
      <c r="B43" t="s">
        <v>97</v>
      </c>
      <c r="C43" s="12">
        <v>10</v>
      </c>
      <c r="D43" s="8">
        <v>1.35</v>
      </c>
      <c r="E43" s="12">
        <v>3</v>
      </c>
      <c r="F43" s="8">
        <v>0.86</v>
      </c>
      <c r="G43" s="12">
        <v>7</v>
      </c>
      <c r="H43" s="8">
        <v>1.84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39</v>
      </c>
      <c r="D47" s="8">
        <v>5.28</v>
      </c>
      <c r="E47" s="12">
        <v>16</v>
      </c>
      <c r="F47" s="8">
        <v>4.58</v>
      </c>
      <c r="G47" s="12">
        <v>23</v>
      </c>
      <c r="H47" s="8">
        <v>6.05</v>
      </c>
      <c r="I47" s="12">
        <v>0</v>
      </c>
    </row>
    <row r="48" spans="2:9" ht="15" customHeight="1" x14ac:dyDescent="0.2">
      <c r="B48" t="s">
        <v>168</v>
      </c>
      <c r="C48" s="12">
        <v>26</v>
      </c>
      <c r="D48" s="8">
        <v>3.52</v>
      </c>
      <c r="E48" s="12">
        <v>23</v>
      </c>
      <c r="F48" s="8">
        <v>6.59</v>
      </c>
      <c r="G48" s="12">
        <v>3</v>
      </c>
      <c r="H48" s="8">
        <v>0.79</v>
      </c>
      <c r="I48" s="12">
        <v>0</v>
      </c>
    </row>
    <row r="49" spans="2:9" ht="15" customHeight="1" x14ac:dyDescent="0.2">
      <c r="B49" t="s">
        <v>171</v>
      </c>
      <c r="C49" s="12">
        <v>25</v>
      </c>
      <c r="D49" s="8">
        <v>3.38</v>
      </c>
      <c r="E49" s="12">
        <v>21</v>
      </c>
      <c r="F49" s="8">
        <v>6.02</v>
      </c>
      <c r="G49" s="12">
        <v>4</v>
      </c>
      <c r="H49" s="8">
        <v>1.05</v>
      </c>
      <c r="I49" s="12">
        <v>0</v>
      </c>
    </row>
    <row r="50" spans="2:9" ht="15" customHeight="1" x14ac:dyDescent="0.2">
      <c r="B50" t="s">
        <v>167</v>
      </c>
      <c r="C50" s="12">
        <v>23</v>
      </c>
      <c r="D50" s="8">
        <v>3.11</v>
      </c>
      <c r="E50" s="12">
        <v>23</v>
      </c>
      <c r="F50" s="8">
        <v>6.59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152</v>
      </c>
      <c r="C51" s="12">
        <v>20</v>
      </c>
      <c r="D51" s="8">
        <v>2.71</v>
      </c>
      <c r="E51" s="12">
        <v>4</v>
      </c>
      <c r="F51" s="8">
        <v>1.1499999999999999</v>
      </c>
      <c r="G51" s="12">
        <v>16</v>
      </c>
      <c r="H51" s="8">
        <v>4.21</v>
      </c>
      <c r="I51" s="12">
        <v>0</v>
      </c>
    </row>
    <row r="52" spans="2:9" ht="15" customHeight="1" x14ac:dyDescent="0.2">
      <c r="B52" t="s">
        <v>160</v>
      </c>
      <c r="C52" s="12">
        <v>19</v>
      </c>
      <c r="D52" s="8">
        <v>2.57</v>
      </c>
      <c r="E52" s="12">
        <v>0</v>
      </c>
      <c r="F52" s="8">
        <v>0</v>
      </c>
      <c r="G52" s="12">
        <v>19</v>
      </c>
      <c r="H52" s="8">
        <v>5</v>
      </c>
      <c r="I52" s="12">
        <v>0</v>
      </c>
    </row>
    <row r="53" spans="2:9" ht="15" customHeight="1" x14ac:dyDescent="0.2">
      <c r="B53" t="s">
        <v>154</v>
      </c>
      <c r="C53" s="12">
        <v>18</v>
      </c>
      <c r="D53" s="8">
        <v>2.44</v>
      </c>
      <c r="E53" s="12">
        <v>6</v>
      </c>
      <c r="F53" s="8">
        <v>1.72</v>
      </c>
      <c r="G53" s="12">
        <v>12</v>
      </c>
      <c r="H53" s="8">
        <v>3.16</v>
      </c>
      <c r="I53" s="12">
        <v>0</v>
      </c>
    </row>
    <row r="54" spans="2:9" ht="15" customHeight="1" x14ac:dyDescent="0.2">
      <c r="B54" t="s">
        <v>165</v>
      </c>
      <c r="C54" s="12">
        <v>18</v>
      </c>
      <c r="D54" s="8">
        <v>2.44</v>
      </c>
      <c r="E54" s="12">
        <v>18</v>
      </c>
      <c r="F54" s="8">
        <v>5.16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170</v>
      </c>
      <c r="C55" s="12">
        <v>18</v>
      </c>
      <c r="D55" s="8">
        <v>2.44</v>
      </c>
      <c r="E55" s="12">
        <v>14</v>
      </c>
      <c r="F55" s="8">
        <v>4.01</v>
      </c>
      <c r="G55" s="12">
        <v>4</v>
      </c>
      <c r="H55" s="8">
        <v>1.05</v>
      </c>
      <c r="I55" s="12">
        <v>0</v>
      </c>
    </row>
    <row r="56" spans="2:9" ht="15" customHeight="1" x14ac:dyDescent="0.2">
      <c r="B56" t="s">
        <v>163</v>
      </c>
      <c r="C56" s="12">
        <v>17</v>
      </c>
      <c r="D56" s="8">
        <v>2.2999999999999998</v>
      </c>
      <c r="E56" s="12">
        <v>9</v>
      </c>
      <c r="F56" s="8">
        <v>2.58</v>
      </c>
      <c r="G56" s="12">
        <v>8</v>
      </c>
      <c r="H56" s="8">
        <v>2.11</v>
      </c>
      <c r="I56" s="12">
        <v>0</v>
      </c>
    </row>
    <row r="57" spans="2:9" ht="15" customHeight="1" x14ac:dyDescent="0.2">
      <c r="B57" t="s">
        <v>202</v>
      </c>
      <c r="C57" s="12">
        <v>16</v>
      </c>
      <c r="D57" s="8">
        <v>2.17</v>
      </c>
      <c r="E57" s="12">
        <v>3</v>
      </c>
      <c r="F57" s="8">
        <v>0.86</v>
      </c>
      <c r="G57" s="12">
        <v>13</v>
      </c>
      <c r="H57" s="8">
        <v>3.42</v>
      </c>
      <c r="I57" s="12">
        <v>0</v>
      </c>
    </row>
    <row r="58" spans="2:9" ht="15" customHeight="1" x14ac:dyDescent="0.2">
      <c r="B58" t="s">
        <v>156</v>
      </c>
      <c r="C58" s="12">
        <v>14</v>
      </c>
      <c r="D58" s="8">
        <v>1.89</v>
      </c>
      <c r="E58" s="12">
        <v>9</v>
      </c>
      <c r="F58" s="8">
        <v>2.58</v>
      </c>
      <c r="G58" s="12">
        <v>5</v>
      </c>
      <c r="H58" s="8">
        <v>1.32</v>
      </c>
      <c r="I58" s="12">
        <v>0</v>
      </c>
    </row>
    <row r="59" spans="2:9" ht="15" customHeight="1" x14ac:dyDescent="0.2">
      <c r="B59" t="s">
        <v>158</v>
      </c>
      <c r="C59" s="12">
        <v>12</v>
      </c>
      <c r="D59" s="8">
        <v>1.62</v>
      </c>
      <c r="E59" s="12">
        <v>6</v>
      </c>
      <c r="F59" s="8">
        <v>1.72</v>
      </c>
      <c r="G59" s="12">
        <v>6</v>
      </c>
      <c r="H59" s="8">
        <v>1.58</v>
      </c>
      <c r="I59" s="12">
        <v>0</v>
      </c>
    </row>
    <row r="60" spans="2:9" ht="15" customHeight="1" x14ac:dyDescent="0.2">
      <c r="B60" t="s">
        <v>191</v>
      </c>
      <c r="C60" s="12">
        <v>11</v>
      </c>
      <c r="D60" s="8">
        <v>1.49</v>
      </c>
      <c r="E60" s="12">
        <v>3</v>
      </c>
      <c r="F60" s="8">
        <v>0.86</v>
      </c>
      <c r="G60" s="12">
        <v>8</v>
      </c>
      <c r="H60" s="8">
        <v>2.11</v>
      </c>
      <c r="I60" s="12">
        <v>0</v>
      </c>
    </row>
    <row r="61" spans="2:9" ht="15" customHeight="1" x14ac:dyDescent="0.2">
      <c r="B61" t="s">
        <v>157</v>
      </c>
      <c r="C61" s="12">
        <v>11</v>
      </c>
      <c r="D61" s="8">
        <v>1.49</v>
      </c>
      <c r="E61" s="12">
        <v>4</v>
      </c>
      <c r="F61" s="8">
        <v>1.1499999999999999</v>
      </c>
      <c r="G61" s="12">
        <v>7</v>
      </c>
      <c r="H61" s="8">
        <v>1.84</v>
      </c>
      <c r="I61" s="12">
        <v>0</v>
      </c>
    </row>
    <row r="62" spans="2:9" ht="15" customHeight="1" x14ac:dyDescent="0.2">
      <c r="B62" t="s">
        <v>197</v>
      </c>
      <c r="C62" s="12">
        <v>10</v>
      </c>
      <c r="D62" s="8">
        <v>1.35</v>
      </c>
      <c r="E62" s="12">
        <v>1</v>
      </c>
      <c r="F62" s="8">
        <v>0.28999999999999998</v>
      </c>
      <c r="G62" s="12">
        <v>9</v>
      </c>
      <c r="H62" s="8">
        <v>2.37</v>
      </c>
      <c r="I62" s="12">
        <v>0</v>
      </c>
    </row>
    <row r="63" spans="2:9" ht="15" customHeight="1" x14ac:dyDescent="0.2">
      <c r="B63" t="s">
        <v>169</v>
      </c>
      <c r="C63" s="12">
        <v>10</v>
      </c>
      <c r="D63" s="8">
        <v>1.35</v>
      </c>
      <c r="E63" s="12">
        <v>7</v>
      </c>
      <c r="F63" s="8">
        <v>2.0099999999999998</v>
      </c>
      <c r="G63" s="12">
        <v>3</v>
      </c>
      <c r="H63" s="8">
        <v>0.79</v>
      </c>
      <c r="I63" s="12">
        <v>0</v>
      </c>
    </row>
    <row r="64" spans="2:9" ht="15" customHeight="1" x14ac:dyDescent="0.2">
      <c r="B64" t="s">
        <v>200</v>
      </c>
      <c r="C64" s="12">
        <v>9</v>
      </c>
      <c r="D64" s="8">
        <v>1.22</v>
      </c>
      <c r="E64" s="12">
        <v>3</v>
      </c>
      <c r="F64" s="8">
        <v>0.86</v>
      </c>
      <c r="G64" s="12">
        <v>6</v>
      </c>
      <c r="H64" s="8">
        <v>1.58</v>
      </c>
      <c r="I64" s="12">
        <v>0</v>
      </c>
    </row>
    <row r="65" spans="2:9" ht="15" customHeight="1" x14ac:dyDescent="0.2">
      <c r="B65" t="s">
        <v>201</v>
      </c>
      <c r="C65" s="12">
        <v>9</v>
      </c>
      <c r="D65" s="8">
        <v>1.22</v>
      </c>
      <c r="E65" s="12">
        <v>1</v>
      </c>
      <c r="F65" s="8">
        <v>0.28999999999999998</v>
      </c>
      <c r="G65" s="12">
        <v>8</v>
      </c>
      <c r="H65" s="8">
        <v>2.11</v>
      </c>
      <c r="I65" s="12">
        <v>0</v>
      </c>
    </row>
    <row r="66" spans="2:9" ht="15" customHeight="1" x14ac:dyDescent="0.2">
      <c r="B66" t="s">
        <v>244</v>
      </c>
      <c r="C66" s="12">
        <v>9</v>
      </c>
      <c r="D66" s="8">
        <v>1.22</v>
      </c>
      <c r="E66" s="12">
        <v>4</v>
      </c>
      <c r="F66" s="8">
        <v>1.1499999999999999</v>
      </c>
      <c r="G66" s="12">
        <v>5</v>
      </c>
      <c r="H66" s="8">
        <v>1.32</v>
      </c>
      <c r="I66" s="12">
        <v>0</v>
      </c>
    </row>
    <row r="67" spans="2:9" ht="15" customHeight="1" x14ac:dyDescent="0.2">
      <c r="B67" t="s">
        <v>164</v>
      </c>
      <c r="C67" s="12">
        <v>9</v>
      </c>
      <c r="D67" s="8">
        <v>1.22</v>
      </c>
      <c r="E67" s="12">
        <v>8</v>
      </c>
      <c r="F67" s="8">
        <v>2.29</v>
      </c>
      <c r="G67" s="12">
        <v>1</v>
      </c>
      <c r="H67" s="8">
        <v>0.26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D60ED-EF85-4C74-9918-B845AEA7B521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344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0.65</v>
      </c>
      <c r="I5" s="12">
        <v>0</v>
      </c>
    </row>
    <row r="6" spans="2:9" ht="15" customHeight="1" x14ac:dyDescent="0.2">
      <c r="B6" t="s">
        <v>72</v>
      </c>
      <c r="C6" s="12">
        <v>69</v>
      </c>
      <c r="D6" s="8">
        <v>10.65</v>
      </c>
      <c r="E6" s="12">
        <v>50</v>
      </c>
      <c r="F6" s="8">
        <v>10.25</v>
      </c>
      <c r="G6" s="12">
        <v>19</v>
      </c>
      <c r="H6" s="8">
        <v>12.34</v>
      </c>
      <c r="I6" s="12">
        <v>0</v>
      </c>
    </row>
    <row r="7" spans="2:9" ht="15" customHeight="1" x14ac:dyDescent="0.2">
      <c r="B7" t="s">
        <v>73</v>
      </c>
      <c r="C7" s="12">
        <v>84</v>
      </c>
      <c r="D7" s="8">
        <v>12.96</v>
      </c>
      <c r="E7" s="12">
        <v>43</v>
      </c>
      <c r="F7" s="8">
        <v>8.81</v>
      </c>
      <c r="G7" s="12">
        <v>41</v>
      </c>
      <c r="H7" s="8">
        <v>26.62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0.65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0.31</v>
      </c>
      <c r="E9" s="12">
        <v>0</v>
      </c>
      <c r="F9" s="8">
        <v>0</v>
      </c>
      <c r="G9" s="12">
        <v>2</v>
      </c>
      <c r="H9" s="8">
        <v>1.3</v>
      </c>
      <c r="I9" s="12">
        <v>0</v>
      </c>
    </row>
    <row r="10" spans="2:9" ht="15" customHeight="1" x14ac:dyDescent="0.2">
      <c r="B10" t="s">
        <v>76</v>
      </c>
      <c r="C10" s="12">
        <v>19</v>
      </c>
      <c r="D10" s="8">
        <v>2.93</v>
      </c>
      <c r="E10" s="12">
        <v>12</v>
      </c>
      <c r="F10" s="8">
        <v>2.46</v>
      </c>
      <c r="G10" s="12">
        <v>6</v>
      </c>
      <c r="H10" s="8">
        <v>3.9</v>
      </c>
      <c r="I10" s="12">
        <v>1</v>
      </c>
    </row>
    <row r="11" spans="2:9" ht="15" customHeight="1" x14ac:dyDescent="0.2">
      <c r="B11" t="s">
        <v>77</v>
      </c>
      <c r="C11" s="12">
        <v>179</v>
      </c>
      <c r="D11" s="8">
        <v>27.62</v>
      </c>
      <c r="E11" s="12">
        <v>139</v>
      </c>
      <c r="F11" s="8">
        <v>28.48</v>
      </c>
      <c r="G11" s="12">
        <v>40</v>
      </c>
      <c r="H11" s="8">
        <v>25.97</v>
      </c>
      <c r="I11" s="12">
        <v>0</v>
      </c>
    </row>
    <row r="12" spans="2:9" ht="15" customHeight="1" x14ac:dyDescent="0.2">
      <c r="B12" t="s">
        <v>78</v>
      </c>
      <c r="C12" s="12">
        <v>2</v>
      </c>
      <c r="D12" s="8">
        <v>0.31</v>
      </c>
      <c r="E12" s="12">
        <v>2</v>
      </c>
      <c r="F12" s="8">
        <v>0.41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79</v>
      </c>
      <c r="C13" s="12">
        <v>20</v>
      </c>
      <c r="D13" s="8">
        <v>3.09</v>
      </c>
      <c r="E13" s="12">
        <v>6</v>
      </c>
      <c r="F13" s="8">
        <v>1.23</v>
      </c>
      <c r="G13" s="12">
        <v>14</v>
      </c>
      <c r="H13" s="8">
        <v>9.09</v>
      </c>
      <c r="I13" s="12">
        <v>0</v>
      </c>
    </row>
    <row r="14" spans="2:9" ht="15" customHeight="1" x14ac:dyDescent="0.2">
      <c r="B14" t="s">
        <v>80</v>
      </c>
      <c r="C14" s="12">
        <v>14</v>
      </c>
      <c r="D14" s="8">
        <v>2.16</v>
      </c>
      <c r="E14" s="12">
        <v>12</v>
      </c>
      <c r="F14" s="8">
        <v>2.46</v>
      </c>
      <c r="G14" s="12">
        <v>2</v>
      </c>
      <c r="H14" s="8">
        <v>1.3</v>
      </c>
      <c r="I14" s="12">
        <v>0</v>
      </c>
    </row>
    <row r="15" spans="2:9" ht="15" customHeight="1" x14ac:dyDescent="0.2">
      <c r="B15" t="s">
        <v>81</v>
      </c>
      <c r="C15" s="12">
        <v>140</v>
      </c>
      <c r="D15" s="8">
        <v>21.6</v>
      </c>
      <c r="E15" s="12">
        <v>124</v>
      </c>
      <c r="F15" s="8">
        <v>25.41</v>
      </c>
      <c r="G15" s="12">
        <v>16</v>
      </c>
      <c r="H15" s="8">
        <v>10.39</v>
      </c>
      <c r="I15" s="12">
        <v>0</v>
      </c>
    </row>
    <row r="16" spans="2:9" ht="15" customHeight="1" x14ac:dyDescent="0.2">
      <c r="B16" t="s">
        <v>82</v>
      </c>
      <c r="C16" s="12">
        <v>69</v>
      </c>
      <c r="D16" s="8">
        <v>10.65</v>
      </c>
      <c r="E16" s="12">
        <v>62</v>
      </c>
      <c r="F16" s="8">
        <v>12.7</v>
      </c>
      <c r="G16" s="12">
        <v>6</v>
      </c>
      <c r="H16" s="8">
        <v>3.9</v>
      </c>
      <c r="I16" s="12">
        <v>0</v>
      </c>
    </row>
    <row r="17" spans="2:9" ht="15" customHeight="1" x14ac:dyDescent="0.2">
      <c r="B17" t="s">
        <v>83</v>
      </c>
      <c r="C17" s="12">
        <v>13</v>
      </c>
      <c r="D17" s="8">
        <v>2.0099999999999998</v>
      </c>
      <c r="E17" s="12">
        <v>10</v>
      </c>
      <c r="F17" s="8">
        <v>2.0499999999999998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84</v>
      </c>
      <c r="C18" s="12">
        <v>19</v>
      </c>
      <c r="D18" s="8">
        <v>2.93</v>
      </c>
      <c r="E18" s="12">
        <v>16</v>
      </c>
      <c r="F18" s="8">
        <v>3.28</v>
      </c>
      <c r="G18" s="12">
        <v>3</v>
      </c>
      <c r="H18" s="8">
        <v>1.95</v>
      </c>
      <c r="I18" s="12">
        <v>0</v>
      </c>
    </row>
    <row r="19" spans="2:9" ht="15" customHeight="1" x14ac:dyDescent="0.2">
      <c r="B19" t="s">
        <v>85</v>
      </c>
      <c r="C19" s="12">
        <v>16</v>
      </c>
      <c r="D19" s="8">
        <v>2.4700000000000002</v>
      </c>
      <c r="E19" s="12">
        <v>12</v>
      </c>
      <c r="F19" s="8">
        <v>2.46</v>
      </c>
      <c r="G19" s="12">
        <v>3</v>
      </c>
      <c r="H19" s="8">
        <v>1.95</v>
      </c>
      <c r="I19" s="12">
        <v>0</v>
      </c>
    </row>
    <row r="20" spans="2:9" ht="15" customHeight="1" x14ac:dyDescent="0.2">
      <c r="B20" s="9" t="s">
        <v>277</v>
      </c>
      <c r="C20" s="12">
        <f>SUM(LTBL_23445[総数／事業所数])</f>
        <v>648</v>
      </c>
      <c r="E20" s="12">
        <f>SUBTOTAL(109,LTBL_23445[個人／事業所数])</f>
        <v>488</v>
      </c>
      <c r="G20" s="12">
        <f>SUBTOTAL(109,LTBL_23445[法人／事業所数])</f>
        <v>154</v>
      </c>
      <c r="I20" s="12">
        <f>SUBTOTAL(109,LTBL_23445[法人以外の団体／事業所数])</f>
        <v>1</v>
      </c>
    </row>
    <row r="21" spans="2:9" ht="15" customHeight="1" x14ac:dyDescent="0.2">
      <c r="E21" s="11">
        <f>LTBL_23445[[#Totals],[個人／事業所数]]/LTBL_23445[[#Totals],[総数／事業所数]]</f>
        <v>0.75308641975308643</v>
      </c>
      <c r="G21" s="11">
        <f>LTBL_23445[[#Totals],[法人／事業所数]]/LTBL_23445[[#Totals],[総数／事業所数]]</f>
        <v>0.23765432098765432</v>
      </c>
      <c r="I21" s="11">
        <f>LTBL_23445[[#Totals],[法人以外の団体／事業所数]]/LTBL_23445[[#Totals],[総数／事業所数]]</f>
        <v>1.5432098765432098E-3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134</v>
      </c>
      <c r="C24" s="12">
        <v>70</v>
      </c>
      <c r="D24" s="8">
        <v>10.8</v>
      </c>
      <c r="E24" s="12">
        <v>59</v>
      </c>
      <c r="F24" s="8">
        <v>12.09</v>
      </c>
      <c r="G24" s="12">
        <v>11</v>
      </c>
      <c r="H24" s="8">
        <v>7.14</v>
      </c>
      <c r="I24" s="12">
        <v>0</v>
      </c>
    </row>
    <row r="25" spans="2:9" ht="15" customHeight="1" x14ac:dyDescent="0.2">
      <c r="B25" t="s">
        <v>110</v>
      </c>
      <c r="C25" s="12">
        <v>66</v>
      </c>
      <c r="D25" s="8">
        <v>10.19</v>
      </c>
      <c r="E25" s="12">
        <v>61</v>
      </c>
      <c r="F25" s="8">
        <v>12.5</v>
      </c>
      <c r="G25" s="12">
        <v>5</v>
      </c>
      <c r="H25" s="8">
        <v>3.25</v>
      </c>
      <c r="I25" s="12">
        <v>0</v>
      </c>
    </row>
    <row r="26" spans="2:9" ht="15" customHeight="1" x14ac:dyDescent="0.2">
      <c r="B26" t="s">
        <v>103</v>
      </c>
      <c r="C26" s="12">
        <v>55</v>
      </c>
      <c r="D26" s="8">
        <v>8.49</v>
      </c>
      <c r="E26" s="12">
        <v>45</v>
      </c>
      <c r="F26" s="8">
        <v>9.2200000000000006</v>
      </c>
      <c r="G26" s="12">
        <v>10</v>
      </c>
      <c r="H26" s="8">
        <v>6.49</v>
      </c>
      <c r="I26" s="12">
        <v>0</v>
      </c>
    </row>
    <row r="27" spans="2:9" ht="15" customHeight="1" x14ac:dyDescent="0.2">
      <c r="B27" t="s">
        <v>105</v>
      </c>
      <c r="C27" s="12">
        <v>50</v>
      </c>
      <c r="D27" s="8">
        <v>7.72</v>
      </c>
      <c r="E27" s="12">
        <v>44</v>
      </c>
      <c r="F27" s="8">
        <v>9.02</v>
      </c>
      <c r="G27" s="12">
        <v>6</v>
      </c>
      <c r="H27" s="8">
        <v>3.9</v>
      </c>
      <c r="I27" s="12">
        <v>0</v>
      </c>
    </row>
    <row r="28" spans="2:9" ht="15" customHeight="1" x14ac:dyDescent="0.2">
      <c r="B28" t="s">
        <v>128</v>
      </c>
      <c r="C28" s="12">
        <v>48</v>
      </c>
      <c r="D28" s="8">
        <v>7.41</v>
      </c>
      <c r="E28" s="12">
        <v>24</v>
      </c>
      <c r="F28" s="8">
        <v>4.92</v>
      </c>
      <c r="G28" s="12">
        <v>24</v>
      </c>
      <c r="H28" s="8">
        <v>15.58</v>
      </c>
      <c r="I28" s="12">
        <v>0</v>
      </c>
    </row>
    <row r="29" spans="2:9" ht="15" customHeight="1" x14ac:dyDescent="0.2">
      <c r="B29" t="s">
        <v>111</v>
      </c>
      <c r="C29" s="12">
        <v>42</v>
      </c>
      <c r="D29" s="8">
        <v>6.48</v>
      </c>
      <c r="E29" s="12">
        <v>41</v>
      </c>
      <c r="F29" s="8">
        <v>8.4</v>
      </c>
      <c r="G29" s="12">
        <v>1</v>
      </c>
      <c r="H29" s="8">
        <v>0.65</v>
      </c>
      <c r="I29" s="12">
        <v>0</v>
      </c>
    </row>
    <row r="30" spans="2:9" ht="15" customHeight="1" x14ac:dyDescent="0.2">
      <c r="B30" t="s">
        <v>95</v>
      </c>
      <c r="C30" s="12">
        <v>29</v>
      </c>
      <c r="D30" s="8">
        <v>4.4800000000000004</v>
      </c>
      <c r="E30" s="12">
        <v>22</v>
      </c>
      <c r="F30" s="8">
        <v>4.51</v>
      </c>
      <c r="G30" s="12">
        <v>7</v>
      </c>
      <c r="H30" s="8">
        <v>4.55</v>
      </c>
      <c r="I30" s="12">
        <v>0</v>
      </c>
    </row>
    <row r="31" spans="2:9" ht="15" customHeight="1" x14ac:dyDescent="0.2">
      <c r="B31" t="s">
        <v>138</v>
      </c>
      <c r="C31" s="12">
        <v>25</v>
      </c>
      <c r="D31" s="8">
        <v>3.86</v>
      </c>
      <c r="E31" s="12">
        <v>21</v>
      </c>
      <c r="F31" s="8">
        <v>4.3</v>
      </c>
      <c r="G31" s="12">
        <v>3</v>
      </c>
      <c r="H31" s="8">
        <v>1.95</v>
      </c>
      <c r="I31" s="12">
        <v>0</v>
      </c>
    </row>
    <row r="32" spans="2:9" ht="15" customHeight="1" x14ac:dyDescent="0.2">
      <c r="B32" t="s">
        <v>104</v>
      </c>
      <c r="C32" s="12">
        <v>23</v>
      </c>
      <c r="D32" s="8">
        <v>3.55</v>
      </c>
      <c r="E32" s="12">
        <v>20</v>
      </c>
      <c r="F32" s="8">
        <v>4.0999999999999996</v>
      </c>
      <c r="G32" s="12">
        <v>3</v>
      </c>
      <c r="H32" s="8">
        <v>1.95</v>
      </c>
      <c r="I32" s="12">
        <v>0</v>
      </c>
    </row>
    <row r="33" spans="2:9" ht="15" customHeight="1" x14ac:dyDescent="0.2">
      <c r="B33" t="s">
        <v>94</v>
      </c>
      <c r="C33" s="12">
        <v>21</v>
      </c>
      <c r="D33" s="8">
        <v>3.24</v>
      </c>
      <c r="E33" s="12">
        <v>14</v>
      </c>
      <c r="F33" s="8">
        <v>2.87</v>
      </c>
      <c r="G33" s="12">
        <v>7</v>
      </c>
      <c r="H33" s="8">
        <v>4.55</v>
      </c>
      <c r="I33" s="12">
        <v>0</v>
      </c>
    </row>
    <row r="34" spans="2:9" ht="15" customHeight="1" x14ac:dyDescent="0.2">
      <c r="B34" t="s">
        <v>96</v>
      </c>
      <c r="C34" s="12">
        <v>19</v>
      </c>
      <c r="D34" s="8">
        <v>2.93</v>
      </c>
      <c r="E34" s="12">
        <v>14</v>
      </c>
      <c r="F34" s="8">
        <v>2.87</v>
      </c>
      <c r="G34" s="12">
        <v>5</v>
      </c>
      <c r="H34" s="8">
        <v>3.25</v>
      </c>
      <c r="I34" s="12">
        <v>0</v>
      </c>
    </row>
    <row r="35" spans="2:9" ht="15" customHeight="1" x14ac:dyDescent="0.2">
      <c r="B35" t="s">
        <v>118</v>
      </c>
      <c r="C35" s="12">
        <v>17</v>
      </c>
      <c r="D35" s="8">
        <v>2.62</v>
      </c>
      <c r="E35" s="12">
        <v>9</v>
      </c>
      <c r="F35" s="8">
        <v>1.84</v>
      </c>
      <c r="G35" s="12">
        <v>8</v>
      </c>
      <c r="H35" s="8">
        <v>5.19</v>
      </c>
      <c r="I35" s="12">
        <v>0</v>
      </c>
    </row>
    <row r="36" spans="2:9" ht="15" customHeight="1" x14ac:dyDescent="0.2">
      <c r="B36" t="s">
        <v>113</v>
      </c>
      <c r="C36" s="12">
        <v>16</v>
      </c>
      <c r="D36" s="8">
        <v>2.4700000000000002</v>
      </c>
      <c r="E36" s="12">
        <v>16</v>
      </c>
      <c r="F36" s="8">
        <v>3.28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131</v>
      </c>
      <c r="C37" s="12">
        <v>15</v>
      </c>
      <c r="D37" s="8">
        <v>2.31</v>
      </c>
      <c r="E37" s="12">
        <v>7</v>
      </c>
      <c r="F37" s="8">
        <v>1.43</v>
      </c>
      <c r="G37" s="12">
        <v>8</v>
      </c>
      <c r="H37" s="8">
        <v>5.19</v>
      </c>
      <c r="I37" s="12">
        <v>0</v>
      </c>
    </row>
    <row r="38" spans="2:9" ht="15" customHeight="1" x14ac:dyDescent="0.2">
      <c r="B38" t="s">
        <v>112</v>
      </c>
      <c r="C38" s="12">
        <v>13</v>
      </c>
      <c r="D38" s="8">
        <v>2.0099999999999998</v>
      </c>
      <c r="E38" s="12">
        <v>10</v>
      </c>
      <c r="F38" s="8">
        <v>2.0499999999999998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102</v>
      </c>
      <c r="C39" s="12">
        <v>11</v>
      </c>
      <c r="D39" s="8">
        <v>1.7</v>
      </c>
      <c r="E39" s="12">
        <v>11</v>
      </c>
      <c r="F39" s="8">
        <v>2.25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107</v>
      </c>
      <c r="C40" s="12">
        <v>11</v>
      </c>
      <c r="D40" s="8">
        <v>1.7</v>
      </c>
      <c r="E40" s="12">
        <v>5</v>
      </c>
      <c r="F40" s="8">
        <v>1.02</v>
      </c>
      <c r="G40" s="12">
        <v>6</v>
      </c>
      <c r="H40" s="8">
        <v>3.9</v>
      </c>
      <c r="I40" s="12">
        <v>0</v>
      </c>
    </row>
    <row r="41" spans="2:9" ht="15" customHeight="1" x14ac:dyDescent="0.2">
      <c r="B41" t="s">
        <v>122</v>
      </c>
      <c r="C41" s="12">
        <v>11</v>
      </c>
      <c r="D41" s="8">
        <v>1.7</v>
      </c>
      <c r="E41" s="12">
        <v>10</v>
      </c>
      <c r="F41" s="8">
        <v>2.0499999999999998</v>
      </c>
      <c r="G41" s="12">
        <v>1</v>
      </c>
      <c r="H41" s="8">
        <v>0.65</v>
      </c>
      <c r="I41" s="12">
        <v>0</v>
      </c>
    </row>
    <row r="42" spans="2:9" ht="15" customHeight="1" x14ac:dyDescent="0.2">
      <c r="B42" t="s">
        <v>99</v>
      </c>
      <c r="C42" s="12">
        <v>8</v>
      </c>
      <c r="D42" s="8">
        <v>1.23</v>
      </c>
      <c r="E42" s="12">
        <v>2</v>
      </c>
      <c r="F42" s="8">
        <v>0.41</v>
      </c>
      <c r="G42" s="12">
        <v>6</v>
      </c>
      <c r="H42" s="8">
        <v>3.9</v>
      </c>
      <c r="I42" s="12">
        <v>0</v>
      </c>
    </row>
    <row r="43" spans="2:9" ht="15" customHeight="1" x14ac:dyDescent="0.2">
      <c r="B43" t="s">
        <v>132</v>
      </c>
      <c r="C43" s="12">
        <v>7</v>
      </c>
      <c r="D43" s="8">
        <v>1.08</v>
      </c>
      <c r="E43" s="12">
        <v>2</v>
      </c>
      <c r="F43" s="8">
        <v>0.41</v>
      </c>
      <c r="G43" s="12">
        <v>5</v>
      </c>
      <c r="H43" s="8">
        <v>3.25</v>
      </c>
      <c r="I43" s="12">
        <v>0</v>
      </c>
    </row>
    <row r="44" spans="2:9" ht="15" customHeight="1" x14ac:dyDescent="0.2">
      <c r="B44" t="s">
        <v>108</v>
      </c>
      <c r="C44" s="12">
        <v>7</v>
      </c>
      <c r="D44" s="8">
        <v>1.08</v>
      </c>
      <c r="E44" s="12">
        <v>6</v>
      </c>
      <c r="F44" s="8">
        <v>1.23</v>
      </c>
      <c r="G44" s="12">
        <v>1</v>
      </c>
      <c r="H44" s="8">
        <v>0.65</v>
      </c>
      <c r="I44" s="12">
        <v>0</v>
      </c>
    </row>
    <row r="45" spans="2:9" ht="15" customHeight="1" x14ac:dyDescent="0.2">
      <c r="B45" t="s">
        <v>109</v>
      </c>
      <c r="C45" s="12">
        <v>7</v>
      </c>
      <c r="D45" s="8">
        <v>1.08</v>
      </c>
      <c r="E45" s="12">
        <v>6</v>
      </c>
      <c r="F45" s="8">
        <v>1.23</v>
      </c>
      <c r="G45" s="12">
        <v>1</v>
      </c>
      <c r="H45" s="8">
        <v>0.65</v>
      </c>
      <c r="I45" s="12">
        <v>0</v>
      </c>
    </row>
    <row r="48" spans="2:9" ht="33" customHeight="1" x14ac:dyDescent="0.2">
      <c r="B48" t="s">
        <v>279</v>
      </c>
      <c r="C48" s="10" t="s">
        <v>87</v>
      </c>
      <c r="D48" s="10" t="s">
        <v>88</v>
      </c>
      <c r="E48" s="10" t="s">
        <v>89</v>
      </c>
      <c r="F48" s="10" t="s">
        <v>90</v>
      </c>
      <c r="G48" s="10" t="s">
        <v>91</v>
      </c>
      <c r="H48" s="10" t="s">
        <v>92</v>
      </c>
      <c r="I48" s="10" t="s">
        <v>93</v>
      </c>
    </row>
    <row r="49" spans="2:9" ht="15" customHeight="1" x14ac:dyDescent="0.2">
      <c r="B49" t="s">
        <v>249</v>
      </c>
      <c r="C49" s="12">
        <v>65</v>
      </c>
      <c r="D49" s="8">
        <v>10.029999999999999</v>
      </c>
      <c r="E49" s="12">
        <v>55</v>
      </c>
      <c r="F49" s="8">
        <v>11.27</v>
      </c>
      <c r="G49" s="12">
        <v>10</v>
      </c>
      <c r="H49" s="8">
        <v>6.49</v>
      </c>
      <c r="I49" s="12">
        <v>0</v>
      </c>
    </row>
    <row r="50" spans="2:9" ht="15" customHeight="1" x14ac:dyDescent="0.2">
      <c r="B50" t="s">
        <v>245</v>
      </c>
      <c r="C50" s="12">
        <v>31</v>
      </c>
      <c r="D50" s="8">
        <v>4.78</v>
      </c>
      <c r="E50" s="12">
        <v>16</v>
      </c>
      <c r="F50" s="8">
        <v>3.28</v>
      </c>
      <c r="G50" s="12">
        <v>15</v>
      </c>
      <c r="H50" s="8">
        <v>9.74</v>
      </c>
      <c r="I50" s="12">
        <v>0</v>
      </c>
    </row>
    <row r="51" spans="2:9" ht="15" customHeight="1" x14ac:dyDescent="0.2">
      <c r="B51" t="s">
        <v>250</v>
      </c>
      <c r="C51" s="12">
        <v>24</v>
      </c>
      <c r="D51" s="8">
        <v>3.7</v>
      </c>
      <c r="E51" s="12">
        <v>21</v>
      </c>
      <c r="F51" s="8">
        <v>4.3</v>
      </c>
      <c r="G51" s="12">
        <v>3</v>
      </c>
      <c r="H51" s="8">
        <v>1.95</v>
      </c>
      <c r="I51" s="12">
        <v>0</v>
      </c>
    </row>
    <row r="52" spans="2:9" ht="15" customHeight="1" x14ac:dyDescent="0.2">
      <c r="B52" t="s">
        <v>186</v>
      </c>
      <c r="C52" s="12">
        <v>23</v>
      </c>
      <c r="D52" s="8">
        <v>3.55</v>
      </c>
      <c r="E52" s="12">
        <v>19</v>
      </c>
      <c r="F52" s="8">
        <v>3.89</v>
      </c>
      <c r="G52" s="12">
        <v>4</v>
      </c>
      <c r="H52" s="8">
        <v>2.6</v>
      </c>
      <c r="I52" s="12">
        <v>0</v>
      </c>
    </row>
    <row r="53" spans="2:9" ht="15" customHeight="1" x14ac:dyDescent="0.2">
      <c r="B53" t="s">
        <v>165</v>
      </c>
      <c r="C53" s="12">
        <v>21</v>
      </c>
      <c r="D53" s="8">
        <v>3.24</v>
      </c>
      <c r="E53" s="12">
        <v>20</v>
      </c>
      <c r="F53" s="8">
        <v>4.0999999999999996</v>
      </c>
      <c r="G53" s="12">
        <v>1</v>
      </c>
      <c r="H53" s="8">
        <v>0.65</v>
      </c>
      <c r="I53" s="12">
        <v>0</v>
      </c>
    </row>
    <row r="54" spans="2:9" ht="15" customHeight="1" x14ac:dyDescent="0.2">
      <c r="B54" t="s">
        <v>163</v>
      </c>
      <c r="C54" s="12">
        <v>19</v>
      </c>
      <c r="D54" s="8">
        <v>2.93</v>
      </c>
      <c r="E54" s="12">
        <v>18</v>
      </c>
      <c r="F54" s="8">
        <v>3.69</v>
      </c>
      <c r="G54" s="12">
        <v>1</v>
      </c>
      <c r="H54" s="8">
        <v>0.65</v>
      </c>
      <c r="I54" s="12">
        <v>0</v>
      </c>
    </row>
    <row r="55" spans="2:9" ht="15" customHeight="1" x14ac:dyDescent="0.2">
      <c r="B55" t="s">
        <v>167</v>
      </c>
      <c r="C55" s="12">
        <v>18</v>
      </c>
      <c r="D55" s="8">
        <v>2.78</v>
      </c>
      <c r="E55" s="12">
        <v>18</v>
      </c>
      <c r="F55" s="8">
        <v>3.69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158</v>
      </c>
      <c r="C56" s="12">
        <v>16</v>
      </c>
      <c r="D56" s="8">
        <v>2.4700000000000002</v>
      </c>
      <c r="E56" s="12">
        <v>14</v>
      </c>
      <c r="F56" s="8">
        <v>2.87</v>
      </c>
      <c r="G56" s="12">
        <v>2</v>
      </c>
      <c r="H56" s="8">
        <v>1.3</v>
      </c>
      <c r="I56" s="12">
        <v>0</v>
      </c>
    </row>
    <row r="57" spans="2:9" ht="15" customHeight="1" x14ac:dyDescent="0.2">
      <c r="B57" t="s">
        <v>194</v>
      </c>
      <c r="C57" s="12">
        <v>15</v>
      </c>
      <c r="D57" s="8">
        <v>2.31</v>
      </c>
      <c r="E57" s="12">
        <v>8</v>
      </c>
      <c r="F57" s="8">
        <v>1.64</v>
      </c>
      <c r="G57" s="12">
        <v>7</v>
      </c>
      <c r="H57" s="8">
        <v>4.55</v>
      </c>
      <c r="I57" s="12">
        <v>0</v>
      </c>
    </row>
    <row r="58" spans="2:9" ht="15" customHeight="1" x14ac:dyDescent="0.2">
      <c r="B58" t="s">
        <v>168</v>
      </c>
      <c r="C58" s="12">
        <v>15</v>
      </c>
      <c r="D58" s="8">
        <v>2.31</v>
      </c>
      <c r="E58" s="12">
        <v>15</v>
      </c>
      <c r="F58" s="8">
        <v>3.07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210</v>
      </c>
      <c r="C59" s="12">
        <v>14</v>
      </c>
      <c r="D59" s="8">
        <v>2.16</v>
      </c>
      <c r="E59" s="12">
        <v>10</v>
      </c>
      <c r="F59" s="8">
        <v>2.0499999999999998</v>
      </c>
      <c r="G59" s="12">
        <v>4</v>
      </c>
      <c r="H59" s="8">
        <v>2.6</v>
      </c>
      <c r="I59" s="12">
        <v>0</v>
      </c>
    </row>
    <row r="60" spans="2:9" ht="15" customHeight="1" x14ac:dyDescent="0.2">
      <c r="B60" t="s">
        <v>156</v>
      </c>
      <c r="C60" s="12">
        <v>14</v>
      </c>
      <c r="D60" s="8">
        <v>2.16</v>
      </c>
      <c r="E60" s="12">
        <v>12</v>
      </c>
      <c r="F60" s="8">
        <v>2.46</v>
      </c>
      <c r="G60" s="12">
        <v>2</v>
      </c>
      <c r="H60" s="8">
        <v>1.3</v>
      </c>
      <c r="I60" s="12">
        <v>0</v>
      </c>
    </row>
    <row r="61" spans="2:9" ht="15" customHeight="1" x14ac:dyDescent="0.2">
      <c r="B61" t="s">
        <v>154</v>
      </c>
      <c r="C61" s="12">
        <v>13</v>
      </c>
      <c r="D61" s="8">
        <v>2.0099999999999998</v>
      </c>
      <c r="E61" s="12">
        <v>9</v>
      </c>
      <c r="F61" s="8">
        <v>1.84</v>
      </c>
      <c r="G61" s="12">
        <v>4</v>
      </c>
      <c r="H61" s="8">
        <v>2.6</v>
      </c>
      <c r="I61" s="12">
        <v>0</v>
      </c>
    </row>
    <row r="62" spans="2:9" ht="15" customHeight="1" x14ac:dyDescent="0.2">
      <c r="B62" t="s">
        <v>246</v>
      </c>
      <c r="C62" s="12">
        <v>11</v>
      </c>
      <c r="D62" s="8">
        <v>1.7</v>
      </c>
      <c r="E62" s="12">
        <v>6</v>
      </c>
      <c r="F62" s="8">
        <v>1.23</v>
      </c>
      <c r="G62" s="12">
        <v>5</v>
      </c>
      <c r="H62" s="8">
        <v>3.25</v>
      </c>
      <c r="I62" s="12">
        <v>0</v>
      </c>
    </row>
    <row r="63" spans="2:9" ht="15" customHeight="1" x14ac:dyDescent="0.2">
      <c r="B63" t="s">
        <v>188</v>
      </c>
      <c r="C63" s="12">
        <v>11</v>
      </c>
      <c r="D63" s="8">
        <v>1.7</v>
      </c>
      <c r="E63" s="12">
        <v>10</v>
      </c>
      <c r="F63" s="8">
        <v>2.0499999999999998</v>
      </c>
      <c r="G63" s="12">
        <v>1</v>
      </c>
      <c r="H63" s="8">
        <v>0.65</v>
      </c>
      <c r="I63" s="12">
        <v>0</v>
      </c>
    </row>
    <row r="64" spans="2:9" ht="15" customHeight="1" x14ac:dyDescent="0.2">
      <c r="B64" t="s">
        <v>205</v>
      </c>
      <c r="C64" s="12">
        <v>9</v>
      </c>
      <c r="D64" s="8">
        <v>1.39</v>
      </c>
      <c r="E64" s="12">
        <v>7</v>
      </c>
      <c r="F64" s="8">
        <v>1.43</v>
      </c>
      <c r="G64" s="12">
        <v>2</v>
      </c>
      <c r="H64" s="8">
        <v>1.3</v>
      </c>
      <c r="I64" s="12">
        <v>0</v>
      </c>
    </row>
    <row r="65" spans="2:9" ht="15" customHeight="1" x14ac:dyDescent="0.2">
      <c r="B65" t="s">
        <v>198</v>
      </c>
      <c r="C65" s="12">
        <v>9</v>
      </c>
      <c r="D65" s="8">
        <v>1.39</v>
      </c>
      <c r="E65" s="12">
        <v>8</v>
      </c>
      <c r="F65" s="8">
        <v>1.64</v>
      </c>
      <c r="G65" s="12">
        <v>1</v>
      </c>
      <c r="H65" s="8">
        <v>0.65</v>
      </c>
      <c r="I65" s="12">
        <v>0</v>
      </c>
    </row>
    <row r="66" spans="2:9" ht="15" customHeight="1" x14ac:dyDescent="0.2">
      <c r="B66" t="s">
        <v>157</v>
      </c>
      <c r="C66" s="12">
        <v>9</v>
      </c>
      <c r="D66" s="8">
        <v>1.39</v>
      </c>
      <c r="E66" s="12">
        <v>6</v>
      </c>
      <c r="F66" s="8">
        <v>1.23</v>
      </c>
      <c r="G66" s="12">
        <v>3</v>
      </c>
      <c r="H66" s="8">
        <v>1.95</v>
      </c>
      <c r="I66" s="12">
        <v>0</v>
      </c>
    </row>
    <row r="67" spans="2:9" ht="15" customHeight="1" x14ac:dyDescent="0.2">
      <c r="B67" t="s">
        <v>164</v>
      </c>
      <c r="C67" s="12">
        <v>9</v>
      </c>
      <c r="D67" s="8">
        <v>1.39</v>
      </c>
      <c r="E67" s="12">
        <v>7</v>
      </c>
      <c r="F67" s="8">
        <v>1.43</v>
      </c>
      <c r="G67" s="12">
        <v>2</v>
      </c>
      <c r="H67" s="8">
        <v>1.3</v>
      </c>
      <c r="I67" s="12">
        <v>0</v>
      </c>
    </row>
    <row r="68" spans="2:9" ht="15" customHeight="1" x14ac:dyDescent="0.2">
      <c r="B68" t="s">
        <v>247</v>
      </c>
      <c r="C68" s="12">
        <v>8</v>
      </c>
      <c r="D68" s="8">
        <v>1.23</v>
      </c>
      <c r="E68" s="12">
        <v>3</v>
      </c>
      <c r="F68" s="8">
        <v>0.61</v>
      </c>
      <c r="G68" s="12">
        <v>5</v>
      </c>
      <c r="H68" s="8">
        <v>3.25</v>
      </c>
      <c r="I68" s="12">
        <v>0</v>
      </c>
    </row>
    <row r="69" spans="2:9" ht="15" customHeight="1" x14ac:dyDescent="0.2">
      <c r="B69" t="s">
        <v>248</v>
      </c>
      <c r="C69" s="12">
        <v>8</v>
      </c>
      <c r="D69" s="8">
        <v>1.23</v>
      </c>
      <c r="E69" s="12">
        <v>7</v>
      </c>
      <c r="F69" s="8">
        <v>1.43</v>
      </c>
      <c r="G69" s="12">
        <v>1</v>
      </c>
      <c r="H69" s="8">
        <v>0.65</v>
      </c>
      <c r="I69" s="12">
        <v>0</v>
      </c>
    </row>
    <row r="70" spans="2:9" ht="15" customHeight="1" x14ac:dyDescent="0.2">
      <c r="B70" t="s">
        <v>218</v>
      </c>
      <c r="C70" s="12">
        <v>8</v>
      </c>
      <c r="D70" s="8">
        <v>1.23</v>
      </c>
      <c r="E70" s="12">
        <v>8</v>
      </c>
      <c r="F70" s="8">
        <v>1.64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171</v>
      </c>
      <c r="C71" s="12">
        <v>8</v>
      </c>
      <c r="D71" s="8">
        <v>1.23</v>
      </c>
      <c r="E71" s="12">
        <v>8</v>
      </c>
      <c r="F71" s="8">
        <v>1.64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87AB-164E-4934-A1C0-CD6659D6D20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282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259</v>
      </c>
      <c r="D6" s="8">
        <v>5.97</v>
      </c>
      <c r="E6" s="12">
        <v>22</v>
      </c>
      <c r="F6" s="8">
        <v>1.26</v>
      </c>
      <c r="G6" s="12">
        <v>237</v>
      </c>
      <c r="H6" s="8">
        <v>9.15</v>
      </c>
      <c r="I6" s="12">
        <v>0</v>
      </c>
    </row>
    <row r="7" spans="2:9" ht="15" customHeight="1" x14ac:dyDescent="0.2">
      <c r="B7" t="s">
        <v>73</v>
      </c>
      <c r="C7" s="12">
        <v>157</v>
      </c>
      <c r="D7" s="8">
        <v>3.62</v>
      </c>
      <c r="E7" s="12">
        <v>24</v>
      </c>
      <c r="F7" s="8">
        <v>1.38</v>
      </c>
      <c r="G7" s="12">
        <v>133</v>
      </c>
      <c r="H7" s="8">
        <v>5.14</v>
      </c>
      <c r="I7" s="12">
        <v>0</v>
      </c>
    </row>
    <row r="8" spans="2:9" ht="15" customHeight="1" x14ac:dyDescent="0.2">
      <c r="B8" t="s">
        <v>74</v>
      </c>
      <c r="C8" s="12">
        <v>4</v>
      </c>
      <c r="D8" s="8">
        <v>0.09</v>
      </c>
      <c r="E8" s="12">
        <v>0</v>
      </c>
      <c r="F8" s="8">
        <v>0</v>
      </c>
      <c r="G8" s="12">
        <v>4</v>
      </c>
      <c r="H8" s="8">
        <v>0.15</v>
      </c>
      <c r="I8" s="12">
        <v>0</v>
      </c>
    </row>
    <row r="9" spans="2:9" ht="15" customHeight="1" x14ac:dyDescent="0.2">
      <c r="B9" t="s">
        <v>75</v>
      </c>
      <c r="C9" s="12">
        <v>81</v>
      </c>
      <c r="D9" s="8">
        <v>1.87</v>
      </c>
      <c r="E9" s="12">
        <v>1</v>
      </c>
      <c r="F9" s="8">
        <v>0.06</v>
      </c>
      <c r="G9" s="12">
        <v>80</v>
      </c>
      <c r="H9" s="8">
        <v>3.09</v>
      </c>
      <c r="I9" s="12">
        <v>0</v>
      </c>
    </row>
    <row r="10" spans="2:9" ht="15" customHeight="1" x14ac:dyDescent="0.2">
      <c r="B10" t="s">
        <v>76</v>
      </c>
      <c r="C10" s="12">
        <v>19</v>
      </c>
      <c r="D10" s="8">
        <v>0.44</v>
      </c>
      <c r="E10" s="12">
        <v>4</v>
      </c>
      <c r="F10" s="8">
        <v>0.23</v>
      </c>
      <c r="G10" s="12">
        <v>15</v>
      </c>
      <c r="H10" s="8">
        <v>0.57999999999999996</v>
      </c>
      <c r="I10" s="12">
        <v>0</v>
      </c>
    </row>
    <row r="11" spans="2:9" ht="15" customHeight="1" x14ac:dyDescent="0.2">
      <c r="B11" t="s">
        <v>77</v>
      </c>
      <c r="C11" s="12">
        <v>911</v>
      </c>
      <c r="D11" s="8">
        <v>21.01</v>
      </c>
      <c r="E11" s="12">
        <v>291</v>
      </c>
      <c r="F11" s="8">
        <v>16.71</v>
      </c>
      <c r="G11" s="12">
        <v>620</v>
      </c>
      <c r="H11" s="8">
        <v>23.94</v>
      </c>
      <c r="I11" s="12">
        <v>0</v>
      </c>
    </row>
    <row r="12" spans="2:9" ht="15" customHeight="1" x14ac:dyDescent="0.2">
      <c r="B12" t="s">
        <v>78</v>
      </c>
      <c r="C12" s="12">
        <v>27</v>
      </c>
      <c r="D12" s="8">
        <v>0.62</v>
      </c>
      <c r="E12" s="12">
        <v>3</v>
      </c>
      <c r="F12" s="8">
        <v>0.17</v>
      </c>
      <c r="G12" s="12">
        <v>24</v>
      </c>
      <c r="H12" s="8">
        <v>0.93</v>
      </c>
      <c r="I12" s="12">
        <v>0</v>
      </c>
    </row>
    <row r="13" spans="2:9" ht="15" customHeight="1" x14ac:dyDescent="0.2">
      <c r="B13" t="s">
        <v>79</v>
      </c>
      <c r="C13" s="12">
        <v>749</v>
      </c>
      <c r="D13" s="8">
        <v>17.27</v>
      </c>
      <c r="E13" s="12">
        <v>143</v>
      </c>
      <c r="F13" s="8">
        <v>8.2100000000000009</v>
      </c>
      <c r="G13" s="12">
        <v>605</v>
      </c>
      <c r="H13" s="8">
        <v>23.36</v>
      </c>
      <c r="I13" s="12">
        <v>1</v>
      </c>
    </row>
    <row r="14" spans="2:9" ht="15" customHeight="1" x14ac:dyDescent="0.2">
      <c r="B14" t="s">
        <v>80</v>
      </c>
      <c r="C14" s="12">
        <v>441</v>
      </c>
      <c r="D14" s="8">
        <v>10.17</v>
      </c>
      <c r="E14" s="12">
        <v>188</v>
      </c>
      <c r="F14" s="8">
        <v>10.8</v>
      </c>
      <c r="G14" s="12">
        <v>253</v>
      </c>
      <c r="H14" s="8">
        <v>9.77</v>
      </c>
      <c r="I14" s="12">
        <v>0</v>
      </c>
    </row>
    <row r="15" spans="2:9" ht="15" customHeight="1" x14ac:dyDescent="0.2">
      <c r="B15" t="s">
        <v>81</v>
      </c>
      <c r="C15" s="12">
        <v>587</v>
      </c>
      <c r="D15" s="8">
        <v>13.54</v>
      </c>
      <c r="E15" s="12">
        <v>424</v>
      </c>
      <c r="F15" s="8">
        <v>24.35</v>
      </c>
      <c r="G15" s="12">
        <v>163</v>
      </c>
      <c r="H15" s="8">
        <v>6.29</v>
      </c>
      <c r="I15" s="12">
        <v>0</v>
      </c>
    </row>
    <row r="16" spans="2:9" ht="15" customHeight="1" x14ac:dyDescent="0.2">
      <c r="B16" t="s">
        <v>82</v>
      </c>
      <c r="C16" s="12">
        <v>505</v>
      </c>
      <c r="D16" s="8">
        <v>11.65</v>
      </c>
      <c r="E16" s="12">
        <v>320</v>
      </c>
      <c r="F16" s="8">
        <v>18.38</v>
      </c>
      <c r="G16" s="12">
        <v>184</v>
      </c>
      <c r="H16" s="8">
        <v>7.1</v>
      </c>
      <c r="I16" s="12">
        <v>1</v>
      </c>
    </row>
    <row r="17" spans="2:9" ht="15" customHeight="1" x14ac:dyDescent="0.2">
      <c r="B17" t="s">
        <v>83</v>
      </c>
      <c r="C17" s="12">
        <v>232</v>
      </c>
      <c r="D17" s="8">
        <v>5.35</v>
      </c>
      <c r="E17" s="12">
        <v>142</v>
      </c>
      <c r="F17" s="8">
        <v>8.16</v>
      </c>
      <c r="G17" s="12">
        <v>90</v>
      </c>
      <c r="H17" s="8">
        <v>3.47</v>
      </c>
      <c r="I17" s="12">
        <v>0</v>
      </c>
    </row>
    <row r="18" spans="2:9" ht="15" customHeight="1" x14ac:dyDescent="0.2">
      <c r="B18" t="s">
        <v>84</v>
      </c>
      <c r="C18" s="12">
        <v>240</v>
      </c>
      <c r="D18" s="8">
        <v>5.54</v>
      </c>
      <c r="E18" s="12">
        <v>157</v>
      </c>
      <c r="F18" s="8">
        <v>9.02</v>
      </c>
      <c r="G18" s="12">
        <v>83</v>
      </c>
      <c r="H18" s="8">
        <v>3.2</v>
      </c>
      <c r="I18" s="12">
        <v>0</v>
      </c>
    </row>
    <row r="19" spans="2:9" ht="15" customHeight="1" x14ac:dyDescent="0.2">
      <c r="B19" t="s">
        <v>85</v>
      </c>
      <c r="C19" s="12">
        <v>124</v>
      </c>
      <c r="D19" s="8">
        <v>2.86</v>
      </c>
      <c r="E19" s="12">
        <v>22</v>
      </c>
      <c r="F19" s="8">
        <v>1.26</v>
      </c>
      <c r="G19" s="12">
        <v>99</v>
      </c>
      <c r="H19" s="8">
        <v>3.82</v>
      </c>
      <c r="I19" s="12">
        <v>3</v>
      </c>
    </row>
    <row r="20" spans="2:9" ht="15" customHeight="1" x14ac:dyDescent="0.2">
      <c r="B20" s="9" t="s">
        <v>277</v>
      </c>
      <c r="C20" s="12">
        <f>SUM(LTBL_23101[総数／事業所数])</f>
        <v>4336</v>
      </c>
      <c r="E20" s="12">
        <f>SUBTOTAL(109,LTBL_23101[個人／事業所数])</f>
        <v>1741</v>
      </c>
      <c r="G20" s="12">
        <f>SUBTOTAL(109,LTBL_23101[法人／事業所数])</f>
        <v>2590</v>
      </c>
      <c r="I20" s="12">
        <f>SUBTOTAL(109,LTBL_23101[法人以外の団体／事業所数])</f>
        <v>5</v>
      </c>
    </row>
    <row r="21" spans="2:9" ht="15" customHeight="1" x14ac:dyDescent="0.2">
      <c r="E21" s="11">
        <f>LTBL_23101[[#Totals],[個人／事業所数]]/LTBL_23101[[#Totals],[総数／事業所数]]</f>
        <v>0.4015221402214022</v>
      </c>
      <c r="G21" s="11">
        <f>LTBL_23101[[#Totals],[法人／事業所数]]/LTBL_23101[[#Totals],[総数／事業所数]]</f>
        <v>0.59732472324723251</v>
      </c>
      <c r="I21" s="11">
        <f>LTBL_23101[[#Totals],[法人以外の団体／事業所数]]/LTBL_23101[[#Totals],[総数／事業所数]]</f>
        <v>1.1531365313653136E-3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607</v>
      </c>
      <c r="D24" s="8">
        <v>14</v>
      </c>
      <c r="E24" s="12">
        <v>134</v>
      </c>
      <c r="F24" s="8">
        <v>7.7</v>
      </c>
      <c r="G24" s="12">
        <v>472</v>
      </c>
      <c r="H24" s="8">
        <v>18.22</v>
      </c>
      <c r="I24" s="12">
        <v>1</v>
      </c>
    </row>
    <row r="25" spans="2:9" ht="15" customHeight="1" x14ac:dyDescent="0.2">
      <c r="B25" t="s">
        <v>110</v>
      </c>
      <c r="C25" s="12">
        <v>540</v>
      </c>
      <c r="D25" s="8">
        <v>12.45</v>
      </c>
      <c r="E25" s="12">
        <v>420</v>
      </c>
      <c r="F25" s="8">
        <v>24.12</v>
      </c>
      <c r="G25" s="12">
        <v>120</v>
      </c>
      <c r="H25" s="8">
        <v>4.63</v>
      </c>
      <c r="I25" s="12">
        <v>0</v>
      </c>
    </row>
    <row r="26" spans="2:9" ht="15" customHeight="1" x14ac:dyDescent="0.2">
      <c r="B26" t="s">
        <v>111</v>
      </c>
      <c r="C26" s="12">
        <v>392</v>
      </c>
      <c r="D26" s="8">
        <v>9.0399999999999991</v>
      </c>
      <c r="E26" s="12">
        <v>287</v>
      </c>
      <c r="F26" s="8">
        <v>16.48</v>
      </c>
      <c r="G26" s="12">
        <v>105</v>
      </c>
      <c r="H26" s="8">
        <v>4.05</v>
      </c>
      <c r="I26" s="12">
        <v>0</v>
      </c>
    </row>
    <row r="27" spans="2:9" ht="15" customHeight="1" x14ac:dyDescent="0.2">
      <c r="B27" t="s">
        <v>108</v>
      </c>
      <c r="C27" s="12">
        <v>281</v>
      </c>
      <c r="D27" s="8">
        <v>6.48</v>
      </c>
      <c r="E27" s="12">
        <v>140</v>
      </c>
      <c r="F27" s="8">
        <v>8.0399999999999991</v>
      </c>
      <c r="G27" s="12">
        <v>141</v>
      </c>
      <c r="H27" s="8">
        <v>5.44</v>
      </c>
      <c r="I27" s="12">
        <v>0</v>
      </c>
    </row>
    <row r="28" spans="2:9" ht="15" customHeight="1" x14ac:dyDescent="0.2">
      <c r="B28" t="s">
        <v>105</v>
      </c>
      <c r="C28" s="12">
        <v>263</v>
      </c>
      <c r="D28" s="8">
        <v>6.07</v>
      </c>
      <c r="E28" s="12">
        <v>125</v>
      </c>
      <c r="F28" s="8">
        <v>7.18</v>
      </c>
      <c r="G28" s="12">
        <v>138</v>
      </c>
      <c r="H28" s="8">
        <v>5.33</v>
      </c>
      <c r="I28" s="12">
        <v>0</v>
      </c>
    </row>
    <row r="29" spans="2:9" ht="15" customHeight="1" x14ac:dyDescent="0.2">
      <c r="B29" t="s">
        <v>112</v>
      </c>
      <c r="C29" s="12">
        <v>232</v>
      </c>
      <c r="D29" s="8">
        <v>5.35</v>
      </c>
      <c r="E29" s="12">
        <v>142</v>
      </c>
      <c r="F29" s="8">
        <v>8.16</v>
      </c>
      <c r="G29" s="12">
        <v>90</v>
      </c>
      <c r="H29" s="8">
        <v>3.47</v>
      </c>
      <c r="I29" s="12">
        <v>0</v>
      </c>
    </row>
    <row r="30" spans="2:9" ht="15" customHeight="1" x14ac:dyDescent="0.2">
      <c r="B30" t="s">
        <v>113</v>
      </c>
      <c r="C30" s="12">
        <v>189</v>
      </c>
      <c r="D30" s="8">
        <v>4.3600000000000003</v>
      </c>
      <c r="E30" s="12">
        <v>155</v>
      </c>
      <c r="F30" s="8">
        <v>8.9</v>
      </c>
      <c r="G30" s="12">
        <v>34</v>
      </c>
      <c r="H30" s="8">
        <v>1.31</v>
      </c>
      <c r="I30" s="12">
        <v>0</v>
      </c>
    </row>
    <row r="31" spans="2:9" ht="15" customHeight="1" x14ac:dyDescent="0.2">
      <c r="B31" t="s">
        <v>109</v>
      </c>
      <c r="C31" s="12">
        <v>135</v>
      </c>
      <c r="D31" s="8">
        <v>3.11</v>
      </c>
      <c r="E31" s="12">
        <v>47</v>
      </c>
      <c r="F31" s="8">
        <v>2.7</v>
      </c>
      <c r="G31" s="12">
        <v>88</v>
      </c>
      <c r="H31" s="8">
        <v>3.4</v>
      </c>
      <c r="I31" s="12">
        <v>0</v>
      </c>
    </row>
    <row r="32" spans="2:9" ht="15" customHeight="1" x14ac:dyDescent="0.2">
      <c r="B32" t="s">
        <v>106</v>
      </c>
      <c r="C32" s="12">
        <v>124</v>
      </c>
      <c r="D32" s="8">
        <v>2.86</v>
      </c>
      <c r="E32" s="12">
        <v>9</v>
      </c>
      <c r="F32" s="8">
        <v>0.52</v>
      </c>
      <c r="G32" s="12">
        <v>115</v>
      </c>
      <c r="H32" s="8">
        <v>4.4400000000000004</v>
      </c>
      <c r="I32" s="12">
        <v>0</v>
      </c>
    </row>
    <row r="33" spans="2:9" ht="15" customHeight="1" x14ac:dyDescent="0.2">
      <c r="B33" t="s">
        <v>103</v>
      </c>
      <c r="C33" s="12">
        <v>121</v>
      </c>
      <c r="D33" s="8">
        <v>2.79</v>
      </c>
      <c r="E33" s="12">
        <v>62</v>
      </c>
      <c r="F33" s="8">
        <v>3.56</v>
      </c>
      <c r="G33" s="12">
        <v>59</v>
      </c>
      <c r="H33" s="8">
        <v>2.2799999999999998</v>
      </c>
      <c r="I33" s="12">
        <v>0</v>
      </c>
    </row>
    <row r="34" spans="2:9" ht="15" customHeight="1" x14ac:dyDescent="0.2">
      <c r="B34" t="s">
        <v>102</v>
      </c>
      <c r="C34" s="12">
        <v>119</v>
      </c>
      <c r="D34" s="8">
        <v>2.74</v>
      </c>
      <c r="E34" s="12">
        <v>53</v>
      </c>
      <c r="F34" s="8">
        <v>3.04</v>
      </c>
      <c r="G34" s="12">
        <v>66</v>
      </c>
      <c r="H34" s="8">
        <v>2.5499999999999998</v>
      </c>
      <c r="I34" s="12">
        <v>0</v>
      </c>
    </row>
    <row r="35" spans="2:9" ht="15" customHeight="1" x14ac:dyDescent="0.2">
      <c r="B35" t="s">
        <v>101</v>
      </c>
      <c r="C35" s="12">
        <v>111</v>
      </c>
      <c r="D35" s="8">
        <v>2.56</v>
      </c>
      <c r="E35" s="12">
        <v>14</v>
      </c>
      <c r="F35" s="8">
        <v>0.8</v>
      </c>
      <c r="G35" s="12">
        <v>97</v>
      </c>
      <c r="H35" s="8">
        <v>3.75</v>
      </c>
      <c r="I35" s="12">
        <v>0</v>
      </c>
    </row>
    <row r="36" spans="2:9" ht="15" customHeight="1" x14ac:dyDescent="0.2">
      <c r="B36" t="s">
        <v>95</v>
      </c>
      <c r="C36" s="12">
        <v>89</v>
      </c>
      <c r="D36" s="8">
        <v>2.0499999999999998</v>
      </c>
      <c r="E36" s="12">
        <v>8</v>
      </c>
      <c r="F36" s="8">
        <v>0.46</v>
      </c>
      <c r="G36" s="12">
        <v>81</v>
      </c>
      <c r="H36" s="8">
        <v>3.13</v>
      </c>
      <c r="I36" s="12">
        <v>0</v>
      </c>
    </row>
    <row r="37" spans="2:9" ht="15" customHeight="1" x14ac:dyDescent="0.2">
      <c r="B37" t="s">
        <v>94</v>
      </c>
      <c r="C37" s="12">
        <v>87</v>
      </c>
      <c r="D37" s="8">
        <v>2.0099999999999998</v>
      </c>
      <c r="E37" s="12">
        <v>5</v>
      </c>
      <c r="F37" s="8">
        <v>0.28999999999999998</v>
      </c>
      <c r="G37" s="12">
        <v>82</v>
      </c>
      <c r="H37" s="8">
        <v>3.17</v>
      </c>
      <c r="I37" s="12">
        <v>0</v>
      </c>
    </row>
    <row r="38" spans="2:9" ht="15" customHeight="1" x14ac:dyDescent="0.2">
      <c r="B38" t="s">
        <v>100</v>
      </c>
      <c r="C38" s="12">
        <v>87</v>
      </c>
      <c r="D38" s="8">
        <v>2.0099999999999998</v>
      </c>
      <c r="E38" s="12">
        <v>5</v>
      </c>
      <c r="F38" s="8">
        <v>0.28999999999999998</v>
      </c>
      <c r="G38" s="12">
        <v>82</v>
      </c>
      <c r="H38" s="8">
        <v>3.17</v>
      </c>
      <c r="I38" s="12">
        <v>0</v>
      </c>
    </row>
    <row r="39" spans="2:9" ht="15" customHeight="1" x14ac:dyDescent="0.2">
      <c r="B39" t="s">
        <v>96</v>
      </c>
      <c r="C39" s="12">
        <v>83</v>
      </c>
      <c r="D39" s="8">
        <v>1.91</v>
      </c>
      <c r="E39" s="12">
        <v>9</v>
      </c>
      <c r="F39" s="8">
        <v>0.52</v>
      </c>
      <c r="G39" s="12">
        <v>74</v>
      </c>
      <c r="H39" s="8">
        <v>2.86</v>
      </c>
      <c r="I39" s="12">
        <v>0</v>
      </c>
    </row>
    <row r="40" spans="2:9" ht="15" customHeight="1" x14ac:dyDescent="0.2">
      <c r="B40" t="s">
        <v>114</v>
      </c>
      <c r="C40" s="12">
        <v>82</v>
      </c>
      <c r="D40" s="8">
        <v>1.89</v>
      </c>
      <c r="E40" s="12">
        <v>4</v>
      </c>
      <c r="F40" s="8">
        <v>0.23</v>
      </c>
      <c r="G40" s="12">
        <v>75</v>
      </c>
      <c r="H40" s="8">
        <v>2.9</v>
      </c>
      <c r="I40" s="12">
        <v>3</v>
      </c>
    </row>
    <row r="41" spans="2:9" ht="15" customHeight="1" x14ac:dyDescent="0.2">
      <c r="B41" t="s">
        <v>115</v>
      </c>
      <c r="C41" s="12">
        <v>76</v>
      </c>
      <c r="D41" s="8">
        <v>1.75</v>
      </c>
      <c r="E41" s="12">
        <v>21</v>
      </c>
      <c r="F41" s="8">
        <v>1.21</v>
      </c>
      <c r="G41" s="12">
        <v>54</v>
      </c>
      <c r="H41" s="8">
        <v>2.08</v>
      </c>
      <c r="I41" s="12">
        <v>1</v>
      </c>
    </row>
    <row r="42" spans="2:9" ht="15" customHeight="1" x14ac:dyDescent="0.2">
      <c r="B42" t="s">
        <v>104</v>
      </c>
      <c r="C42" s="12">
        <v>65</v>
      </c>
      <c r="D42" s="8">
        <v>1.5</v>
      </c>
      <c r="E42" s="12">
        <v>17</v>
      </c>
      <c r="F42" s="8">
        <v>0.98</v>
      </c>
      <c r="G42" s="12">
        <v>48</v>
      </c>
      <c r="H42" s="8">
        <v>1.85</v>
      </c>
      <c r="I42" s="12">
        <v>0</v>
      </c>
    </row>
    <row r="43" spans="2:9" ht="15" customHeight="1" x14ac:dyDescent="0.2">
      <c r="B43" t="s">
        <v>99</v>
      </c>
      <c r="C43" s="12">
        <v>51</v>
      </c>
      <c r="D43" s="8">
        <v>1.18</v>
      </c>
      <c r="E43" s="12">
        <v>2</v>
      </c>
      <c r="F43" s="8">
        <v>0.11</v>
      </c>
      <c r="G43" s="12">
        <v>49</v>
      </c>
      <c r="H43" s="8">
        <v>1.89</v>
      </c>
      <c r="I43" s="12">
        <v>0</v>
      </c>
    </row>
    <row r="44" spans="2:9" ht="15" customHeight="1" x14ac:dyDescent="0.2">
      <c r="B44" t="s">
        <v>116</v>
      </c>
      <c r="C44" s="12">
        <v>51</v>
      </c>
      <c r="D44" s="8">
        <v>1.18</v>
      </c>
      <c r="E44" s="12">
        <v>2</v>
      </c>
      <c r="F44" s="8">
        <v>0.11</v>
      </c>
      <c r="G44" s="12">
        <v>49</v>
      </c>
      <c r="H44" s="8">
        <v>1.89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161</v>
      </c>
      <c r="C48" s="12">
        <v>354</v>
      </c>
      <c r="D48" s="8">
        <v>8.16</v>
      </c>
      <c r="E48" s="12">
        <v>100</v>
      </c>
      <c r="F48" s="8">
        <v>5.74</v>
      </c>
      <c r="G48" s="12">
        <v>254</v>
      </c>
      <c r="H48" s="8">
        <v>9.81</v>
      </c>
      <c r="I48" s="12">
        <v>0</v>
      </c>
    </row>
    <row r="49" spans="2:9" ht="15" customHeight="1" x14ac:dyDescent="0.2">
      <c r="B49" t="s">
        <v>168</v>
      </c>
      <c r="C49" s="12">
        <v>215</v>
      </c>
      <c r="D49" s="8">
        <v>4.96</v>
      </c>
      <c r="E49" s="12">
        <v>176</v>
      </c>
      <c r="F49" s="8">
        <v>10.11</v>
      </c>
      <c r="G49" s="12">
        <v>39</v>
      </c>
      <c r="H49" s="8">
        <v>1.51</v>
      </c>
      <c r="I49" s="12">
        <v>0</v>
      </c>
    </row>
    <row r="50" spans="2:9" ht="15" customHeight="1" x14ac:dyDescent="0.2">
      <c r="B50" t="s">
        <v>163</v>
      </c>
      <c r="C50" s="12">
        <v>196</v>
      </c>
      <c r="D50" s="8">
        <v>4.5199999999999996</v>
      </c>
      <c r="E50" s="12">
        <v>138</v>
      </c>
      <c r="F50" s="8">
        <v>7.93</v>
      </c>
      <c r="G50" s="12">
        <v>58</v>
      </c>
      <c r="H50" s="8">
        <v>2.2400000000000002</v>
      </c>
      <c r="I50" s="12">
        <v>0</v>
      </c>
    </row>
    <row r="51" spans="2:9" ht="15" customHeight="1" x14ac:dyDescent="0.2">
      <c r="B51" t="s">
        <v>170</v>
      </c>
      <c r="C51" s="12">
        <v>153</v>
      </c>
      <c r="D51" s="8">
        <v>3.53</v>
      </c>
      <c r="E51" s="12">
        <v>111</v>
      </c>
      <c r="F51" s="8">
        <v>6.38</v>
      </c>
      <c r="G51" s="12">
        <v>42</v>
      </c>
      <c r="H51" s="8">
        <v>1.62</v>
      </c>
      <c r="I51" s="12">
        <v>0</v>
      </c>
    </row>
    <row r="52" spans="2:9" ht="15" customHeight="1" x14ac:dyDescent="0.2">
      <c r="B52" t="s">
        <v>160</v>
      </c>
      <c r="C52" s="12">
        <v>130</v>
      </c>
      <c r="D52" s="8">
        <v>3</v>
      </c>
      <c r="E52" s="12">
        <v>21</v>
      </c>
      <c r="F52" s="8">
        <v>1.21</v>
      </c>
      <c r="G52" s="12">
        <v>108</v>
      </c>
      <c r="H52" s="8">
        <v>4.17</v>
      </c>
      <c r="I52" s="12">
        <v>1</v>
      </c>
    </row>
    <row r="53" spans="2:9" ht="15" customHeight="1" x14ac:dyDescent="0.2">
      <c r="B53" t="s">
        <v>171</v>
      </c>
      <c r="C53" s="12">
        <v>128</v>
      </c>
      <c r="D53" s="8">
        <v>2.95</v>
      </c>
      <c r="E53" s="12">
        <v>104</v>
      </c>
      <c r="F53" s="8">
        <v>5.97</v>
      </c>
      <c r="G53" s="12">
        <v>24</v>
      </c>
      <c r="H53" s="8">
        <v>0.93</v>
      </c>
      <c r="I53" s="12">
        <v>0</v>
      </c>
    </row>
    <row r="54" spans="2:9" ht="15" customHeight="1" x14ac:dyDescent="0.2">
      <c r="B54" t="s">
        <v>165</v>
      </c>
      <c r="C54" s="12">
        <v>105</v>
      </c>
      <c r="D54" s="8">
        <v>2.42</v>
      </c>
      <c r="E54" s="12">
        <v>89</v>
      </c>
      <c r="F54" s="8">
        <v>5.1100000000000003</v>
      </c>
      <c r="G54" s="12">
        <v>16</v>
      </c>
      <c r="H54" s="8">
        <v>0.62</v>
      </c>
      <c r="I54" s="12">
        <v>0</v>
      </c>
    </row>
    <row r="55" spans="2:9" ht="15" customHeight="1" x14ac:dyDescent="0.2">
      <c r="B55" t="s">
        <v>162</v>
      </c>
      <c r="C55" s="12">
        <v>102</v>
      </c>
      <c r="D55" s="8">
        <v>2.35</v>
      </c>
      <c r="E55" s="12">
        <v>34</v>
      </c>
      <c r="F55" s="8">
        <v>1.95</v>
      </c>
      <c r="G55" s="12">
        <v>68</v>
      </c>
      <c r="H55" s="8">
        <v>2.63</v>
      </c>
      <c r="I55" s="12">
        <v>0</v>
      </c>
    </row>
    <row r="56" spans="2:9" ht="15" customHeight="1" x14ac:dyDescent="0.2">
      <c r="B56" t="s">
        <v>164</v>
      </c>
      <c r="C56" s="12">
        <v>102</v>
      </c>
      <c r="D56" s="8">
        <v>2.35</v>
      </c>
      <c r="E56" s="12">
        <v>83</v>
      </c>
      <c r="F56" s="8">
        <v>4.7699999999999996</v>
      </c>
      <c r="G56" s="12">
        <v>19</v>
      </c>
      <c r="H56" s="8">
        <v>0.73</v>
      </c>
      <c r="I56" s="12">
        <v>0</v>
      </c>
    </row>
    <row r="57" spans="2:9" ht="15" customHeight="1" x14ac:dyDescent="0.2">
      <c r="B57" t="s">
        <v>158</v>
      </c>
      <c r="C57" s="12">
        <v>100</v>
      </c>
      <c r="D57" s="8">
        <v>2.31</v>
      </c>
      <c r="E57" s="12">
        <v>55</v>
      </c>
      <c r="F57" s="8">
        <v>3.16</v>
      </c>
      <c r="G57" s="12">
        <v>45</v>
      </c>
      <c r="H57" s="8">
        <v>1.74</v>
      </c>
      <c r="I57" s="12">
        <v>0</v>
      </c>
    </row>
    <row r="58" spans="2:9" ht="15" customHeight="1" x14ac:dyDescent="0.2">
      <c r="B58" t="s">
        <v>159</v>
      </c>
      <c r="C58" s="12">
        <v>99</v>
      </c>
      <c r="D58" s="8">
        <v>2.2799999999999998</v>
      </c>
      <c r="E58" s="12">
        <v>7</v>
      </c>
      <c r="F58" s="8">
        <v>0.4</v>
      </c>
      <c r="G58" s="12">
        <v>92</v>
      </c>
      <c r="H58" s="8">
        <v>3.55</v>
      </c>
      <c r="I58" s="12">
        <v>0</v>
      </c>
    </row>
    <row r="59" spans="2:9" ht="15" customHeight="1" x14ac:dyDescent="0.2">
      <c r="B59" t="s">
        <v>174</v>
      </c>
      <c r="C59" s="12">
        <v>94</v>
      </c>
      <c r="D59" s="8">
        <v>2.17</v>
      </c>
      <c r="E59" s="12">
        <v>1</v>
      </c>
      <c r="F59" s="8">
        <v>0.06</v>
      </c>
      <c r="G59" s="12">
        <v>93</v>
      </c>
      <c r="H59" s="8">
        <v>3.59</v>
      </c>
      <c r="I59" s="12">
        <v>0</v>
      </c>
    </row>
    <row r="60" spans="2:9" ht="15" customHeight="1" x14ac:dyDescent="0.2">
      <c r="B60" t="s">
        <v>175</v>
      </c>
      <c r="C60" s="12">
        <v>74</v>
      </c>
      <c r="D60" s="8">
        <v>1.71</v>
      </c>
      <c r="E60" s="12">
        <v>69</v>
      </c>
      <c r="F60" s="8">
        <v>3.96</v>
      </c>
      <c r="G60" s="12">
        <v>5</v>
      </c>
      <c r="H60" s="8">
        <v>0.19</v>
      </c>
      <c r="I60" s="12">
        <v>0</v>
      </c>
    </row>
    <row r="61" spans="2:9" ht="15" customHeight="1" x14ac:dyDescent="0.2">
      <c r="B61" t="s">
        <v>169</v>
      </c>
      <c r="C61" s="12">
        <v>68</v>
      </c>
      <c r="D61" s="8">
        <v>1.57</v>
      </c>
      <c r="E61" s="12">
        <v>31</v>
      </c>
      <c r="F61" s="8">
        <v>1.78</v>
      </c>
      <c r="G61" s="12">
        <v>37</v>
      </c>
      <c r="H61" s="8">
        <v>1.43</v>
      </c>
      <c r="I61" s="12">
        <v>0</v>
      </c>
    </row>
    <row r="62" spans="2:9" ht="15" customHeight="1" x14ac:dyDescent="0.2">
      <c r="B62" t="s">
        <v>173</v>
      </c>
      <c r="C62" s="12">
        <v>66</v>
      </c>
      <c r="D62" s="8">
        <v>1.52</v>
      </c>
      <c r="E62" s="12">
        <v>7</v>
      </c>
      <c r="F62" s="8">
        <v>0.4</v>
      </c>
      <c r="G62" s="12">
        <v>59</v>
      </c>
      <c r="H62" s="8">
        <v>2.2799999999999998</v>
      </c>
      <c r="I62" s="12">
        <v>0</v>
      </c>
    </row>
    <row r="63" spans="2:9" ht="15" customHeight="1" x14ac:dyDescent="0.2">
      <c r="B63" t="s">
        <v>167</v>
      </c>
      <c r="C63" s="12">
        <v>63</v>
      </c>
      <c r="D63" s="8">
        <v>1.45</v>
      </c>
      <c r="E63" s="12">
        <v>59</v>
      </c>
      <c r="F63" s="8">
        <v>3.39</v>
      </c>
      <c r="G63" s="12">
        <v>4</v>
      </c>
      <c r="H63" s="8">
        <v>0.15</v>
      </c>
      <c r="I63" s="12">
        <v>0</v>
      </c>
    </row>
    <row r="64" spans="2:9" ht="15" customHeight="1" x14ac:dyDescent="0.2">
      <c r="B64" t="s">
        <v>178</v>
      </c>
      <c r="C64" s="12">
        <v>60</v>
      </c>
      <c r="D64" s="8">
        <v>1.38</v>
      </c>
      <c r="E64" s="12">
        <v>4</v>
      </c>
      <c r="F64" s="8">
        <v>0.23</v>
      </c>
      <c r="G64" s="12">
        <v>56</v>
      </c>
      <c r="H64" s="8">
        <v>2.16</v>
      </c>
      <c r="I64" s="12">
        <v>0</v>
      </c>
    </row>
    <row r="65" spans="2:9" ht="15" customHeight="1" x14ac:dyDescent="0.2">
      <c r="B65" t="s">
        <v>179</v>
      </c>
      <c r="C65" s="12">
        <v>60</v>
      </c>
      <c r="D65" s="8">
        <v>1.38</v>
      </c>
      <c r="E65" s="12">
        <v>38</v>
      </c>
      <c r="F65" s="8">
        <v>2.1800000000000002</v>
      </c>
      <c r="G65" s="12">
        <v>22</v>
      </c>
      <c r="H65" s="8">
        <v>0.85</v>
      </c>
      <c r="I65" s="12">
        <v>0</v>
      </c>
    </row>
    <row r="66" spans="2:9" ht="15" customHeight="1" x14ac:dyDescent="0.2">
      <c r="B66" t="s">
        <v>177</v>
      </c>
      <c r="C66" s="12">
        <v>57</v>
      </c>
      <c r="D66" s="8">
        <v>1.31</v>
      </c>
      <c r="E66" s="12">
        <v>1</v>
      </c>
      <c r="F66" s="8">
        <v>0.06</v>
      </c>
      <c r="G66" s="12">
        <v>56</v>
      </c>
      <c r="H66" s="8">
        <v>2.16</v>
      </c>
      <c r="I66" s="12">
        <v>0</v>
      </c>
    </row>
    <row r="67" spans="2:9" ht="15" customHeight="1" x14ac:dyDescent="0.2">
      <c r="B67" t="s">
        <v>180</v>
      </c>
      <c r="C67" s="12">
        <v>56</v>
      </c>
      <c r="D67" s="8">
        <v>1.29</v>
      </c>
      <c r="E67" s="12">
        <v>1</v>
      </c>
      <c r="F67" s="8">
        <v>0.06</v>
      </c>
      <c r="G67" s="12">
        <v>52</v>
      </c>
      <c r="H67" s="8">
        <v>2.0099999999999998</v>
      </c>
      <c r="I67" s="12">
        <v>3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DD4E-A3CB-4AFB-AD3B-4B634A2D325D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345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99</v>
      </c>
      <c r="D6" s="8">
        <v>17.87</v>
      </c>
      <c r="E6" s="12">
        <v>58</v>
      </c>
      <c r="F6" s="8">
        <v>15.38</v>
      </c>
      <c r="G6" s="12">
        <v>41</v>
      </c>
      <c r="H6" s="8">
        <v>24.26</v>
      </c>
      <c r="I6" s="12">
        <v>0</v>
      </c>
    </row>
    <row r="7" spans="2:9" ht="15" customHeight="1" x14ac:dyDescent="0.2">
      <c r="B7" t="s">
        <v>73</v>
      </c>
      <c r="C7" s="12">
        <v>42</v>
      </c>
      <c r="D7" s="8">
        <v>7.58</v>
      </c>
      <c r="E7" s="12">
        <v>23</v>
      </c>
      <c r="F7" s="8">
        <v>6.1</v>
      </c>
      <c r="G7" s="12">
        <v>19</v>
      </c>
      <c r="H7" s="8">
        <v>11.24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0.54</v>
      </c>
      <c r="E8" s="12">
        <v>1</v>
      </c>
      <c r="F8" s="8">
        <v>0.27</v>
      </c>
      <c r="G8" s="12">
        <v>2</v>
      </c>
      <c r="H8" s="8">
        <v>1.18</v>
      </c>
      <c r="I8" s="12">
        <v>0</v>
      </c>
    </row>
    <row r="9" spans="2:9" ht="15" customHeight="1" x14ac:dyDescent="0.2">
      <c r="B9" t="s">
        <v>75</v>
      </c>
      <c r="C9" s="12">
        <v>3</v>
      </c>
      <c r="D9" s="8">
        <v>0.54</v>
      </c>
      <c r="E9" s="12">
        <v>0</v>
      </c>
      <c r="F9" s="8">
        <v>0</v>
      </c>
      <c r="G9" s="12">
        <v>3</v>
      </c>
      <c r="H9" s="8">
        <v>1.78</v>
      </c>
      <c r="I9" s="12">
        <v>0</v>
      </c>
    </row>
    <row r="10" spans="2:9" ht="15" customHeight="1" x14ac:dyDescent="0.2">
      <c r="B10" t="s">
        <v>76</v>
      </c>
      <c r="C10" s="12">
        <v>6</v>
      </c>
      <c r="D10" s="8">
        <v>1.08</v>
      </c>
      <c r="E10" s="12">
        <v>1</v>
      </c>
      <c r="F10" s="8">
        <v>0.27</v>
      </c>
      <c r="G10" s="12">
        <v>4</v>
      </c>
      <c r="H10" s="8">
        <v>2.37</v>
      </c>
      <c r="I10" s="12">
        <v>1</v>
      </c>
    </row>
    <row r="11" spans="2:9" ht="15" customHeight="1" x14ac:dyDescent="0.2">
      <c r="B11" t="s">
        <v>77</v>
      </c>
      <c r="C11" s="12">
        <v>106</v>
      </c>
      <c r="D11" s="8">
        <v>19.13</v>
      </c>
      <c r="E11" s="12">
        <v>71</v>
      </c>
      <c r="F11" s="8">
        <v>18.829999999999998</v>
      </c>
      <c r="G11" s="12">
        <v>35</v>
      </c>
      <c r="H11" s="8">
        <v>20.71</v>
      </c>
      <c r="I11" s="12">
        <v>0</v>
      </c>
    </row>
    <row r="12" spans="2:9" ht="15" customHeight="1" x14ac:dyDescent="0.2">
      <c r="B12" t="s">
        <v>78</v>
      </c>
      <c r="C12" s="12">
        <v>2</v>
      </c>
      <c r="D12" s="8">
        <v>0.36</v>
      </c>
      <c r="E12" s="12">
        <v>1</v>
      </c>
      <c r="F12" s="8">
        <v>0.27</v>
      </c>
      <c r="G12" s="12">
        <v>1</v>
      </c>
      <c r="H12" s="8">
        <v>0.59</v>
      </c>
      <c r="I12" s="12">
        <v>0</v>
      </c>
    </row>
    <row r="13" spans="2:9" ht="15" customHeight="1" x14ac:dyDescent="0.2">
      <c r="B13" t="s">
        <v>79</v>
      </c>
      <c r="C13" s="12">
        <v>87</v>
      </c>
      <c r="D13" s="8">
        <v>15.7</v>
      </c>
      <c r="E13" s="12">
        <v>72</v>
      </c>
      <c r="F13" s="8">
        <v>19.100000000000001</v>
      </c>
      <c r="G13" s="12">
        <v>14</v>
      </c>
      <c r="H13" s="8">
        <v>8.2799999999999994</v>
      </c>
      <c r="I13" s="12">
        <v>1</v>
      </c>
    </row>
    <row r="14" spans="2:9" ht="15" customHeight="1" x14ac:dyDescent="0.2">
      <c r="B14" t="s">
        <v>80</v>
      </c>
      <c r="C14" s="12">
        <v>29</v>
      </c>
      <c r="D14" s="8">
        <v>5.23</v>
      </c>
      <c r="E14" s="12">
        <v>15</v>
      </c>
      <c r="F14" s="8">
        <v>3.98</v>
      </c>
      <c r="G14" s="12">
        <v>14</v>
      </c>
      <c r="H14" s="8">
        <v>8.2799999999999994</v>
      </c>
      <c r="I14" s="12">
        <v>0</v>
      </c>
    </row>
    <row r="15" spans="2:9" ht="15" customHeight="1" x14ac:dyDescent="0.2">
      <c r="B15" t="s">
        <v>81</v>
      </c>
      <c r="C15" s="12">
        <v>54</v>
      </c>
      <c r="D15" s="8">
        <v>9.75</v>
      </c>
      <c r="E15" s="12">
        <v>41</v>
      </c>
      <c r="F15" s="8">
        <v>10.88</v>
      </c>
      <c r="G15" s="12">
        <v>13</v>
      </c>
      <c r="H15" s="8">
        <v>7.69</v>
      </c>
      <c r="I15" s="12">
        <v>0</v>
      </c>
    </row>
    <row r="16" spans="2:9" ht="15" customHeight="1" x14ac:dyDescent="0.2">
      <c r="B16" t="s">
        <v>82</v>
      </c>
      <c r="C16" s="12">
        <v>53</v>
      </c>
      <c r="D16" s="8">
        <v>9.57</v>
      </c>
      <c r="E16" s="12">
        <v>47</v>
      </c>
      <c r="F16" s="8">
        <v>12.47</v>
      </c>
      <c r="G16" s="12">
        <v>6</v>
      </c>
      <c r="H16" s="8">
        <v>3.55</v>
      </c>
      <c r="I16" s="12">
        <v>0</v>
      </c>
    </row>
    <row r="17" spans="2:9" ht="15" customHeight="1" x14ac:dyDescent="0.2">
      <c r="B17" t="s">
        <v>83</v>
      </c>
      <c r="C17" s="12">
        <v>36</v>
      </c>
      <c r="D17" s="8">
        <v>6.5</v>
      </c>
      <c r="E17" s="12">
        <v>24</v>
      </c>
      <c r="F17" s="8">
        <v>6.37</v>
      </c>
      <c r="G17" s="12">
        <v>9</v>
      </c>
      <c r="H17" s="8">
        <v>5.33</v>
      </c>
      <c r="I17" s="12">
        <v>3</v>
      </c>
    </row>
    <row r="18" spans="2:9" ht="15" customHeight="1" x14ac:dyDescent="0.2">
      <c r="B18" t="s">
        <v>84</v>
      </c>
      <c r="C18" s="12">
        <v>19</v>
      </c>
      <c r="D18" s="8">
        <v>3.43</v>
      </c>
      <c r="E18" s="12">
        <v>17</v>
      </c>
      <c r="F18" s="8">
        <v>4.51</v>
      </c>
      <c r="G18" s="12">
        <v>2</v>
      </c>
      <c r="H18" s="8">
        <v>1.18</v>
      </c>
      <c r="I18" s="12">
        <v>0</v>
      </c>
    </row>
    <row r="19" spans="2:9" ht="15" customHeight="1" x14ac:dyDescent="0.2">
      <c r="B19" t="s">
        <v>85</v>
      </c>
      <c r="C19" s="12">
        <v>15</v>
      </c>
      <c r="D19" s="8">
        <v>2.71</v>
      </c>
      <c r="E19" s="12">
        <v>6</v>
      </c>
      <c r="F19" s="8">
        <v>1.59</v>
      </c>
      <c r="G19" s="12">
        <v>6</v>
      </c>
      <c r="H19" s="8">
        <v>3.55</v>
      </c>
      <c r="I19" s="12">
        <v>3</v>
      </c>
    </row>
    <row r="20" spans="2:9" ht="15" customHeight="1" x14ac:dyDescent="0.2">
      <c r="B20" s="9" t="s">
        <v>277</v>
      </c>
      <c r="C20" s="12">
        <f>SUM(LTBL_23446[総数／事業所数])</f>
        <v>554</v>
      </c>
      <c r="E20" s="12">
        <f>SUBTOTAL(109,LTBL_23446[個人／事業所数])</f>
        <v>377</v>
      </c>
      <c r="G20" s="12">
        <f>SUBTOTAL(109,LTBL_23446[法人／事業所数])</f>
        <v>169</v>
      </c>
      <c r="I20" s="12">
        <f>SUBTOTAL(109,LTBL_23446[法人以外の団体／事業所数])</f>
        <v>8</v>
      </c>
    </row>
    <row r="21" spans="2:9" ht="15" customHeight="1" x14ac:dyDescent="0.2">
      <c r="E21" s="11">
        <f>LTBL_23446[[#Totals],[個人／事業所数]]/LTBL_23446[[#Totals],[総数／事業所数]]</f>
        <v>0.68050541516245489</v>
      </c>
      <c r="G21" s="11">
        <f>LTBL_23446[[#Totals],[法人／事業所数]]/LTBL_23446[[#Totals],[総数／事業所数]]</f>
        <v>0.30505415162454874</v>
      </c>
      <c r="I21" s="11">
        <f>LTBL_23446[[#Totals],[法人以外の団体／事業所数]]/LTBL_23446[[#Totals],[総数／事業所数]]</f>
        <v>1.444043321299639E-2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75</v>
      </c>
      <c r="D24" s="8">
        <v>13.54</v>
      </c>
      <c r="E24" s="12">
        <v>65</v>
      </c>
      <c r="F24" s="8">
        <v>17.239999999999998</v>
      </c>
      <c r="G24" s="12">
        <v>9</v>
      </c>
      <c r="H24" s="8">
        <v>5.33</v>
      </c>
      <c r="I24" s="12">
        <v>1</v>
      </c>
    </row>
    <row r="25" spans="2:9" ht="15" customHeight="1" x14ac:dyDescent="0.2">
      <c r="B25" t="s">
        <v>111</v>
      </c>
      <c r="C25" s="12">
        <v>47</v>
      </c>
      <c r="D25" s="8">
        <v>8.48</v>
      </c>
      <c r="E25" s="12">
        <v>46</v>
      </c>
      <c r="F25" s="8">
        <v>12.2</v>
      </c>
      <c r="G25" s="12">
        <v>1</v>
      </c>
      <c r="H25" s="8">
        <v>0.59</v>
      </c>
      <c r="I25" s="12">
        <v>0</v>
      </c>
    </row>
    <row r="26" spans="2:9" ht="15" customHeight="1" x14ac:dyDescent="0.2">
      <c r="B26" t="s">
        <v>94</v>
      </c>
      <c r="C26" s="12">
        <v>38</v>
      </c>
      <c r="D26" s="8">
        <v>6.86</v>
      </c>
      <c r="E26" s="12">
        <v>22</v>
      </c>
      <c r="F26" s="8">
        <v>5.84</v>
      </c>
      <c r="G26" s="12">
        <v>16</v>
      </c>
      <c r="H26" s="8">
        <v>9.4700000000000006</v>
      </c>
      <c r="I26" s="12">
        <v>0</v>
      </c>
    </row>
    <row r="27" spans="2:9" ht="15" customHeight="1" x14ac:dyDescent="0.2">
      <c r="B27" t="s">
        <v>110</v>
      </c>
      <c r="C27" s="12">
        <v>38</v>
      </c>
      <c r="D27" s="8">
        <v>6.86</v>
      </c>
      <c r="E27" s="12">
        <v>33</v>
      </c>
      <c r="F27" s="8">
        <v>8.75</v>
      </c>
      <c r="G27" s="12">
        <v>5</v>
      </c>
      <c r="H27" s="8">
        <v>2.96</v>
      </c>
      <c r="I27" s="12">
        <v>0</v>
      </c>
    </row>
    <row r="28" spans="2:9" ht="15" customHeight="1" x14ac:dyDescent="0.2">
      <c r="B28" t="s">
        <v>95</v>
      </c>
      <c r="C28" s="12">
        <v>36</v>
      </c>
      <c r="D28" s="8">
        <v>6.5</v>
      </c>
      <c r="E28" s="12">
        <v>24</v>
      </c>
      <c r="F28" s="8">
        <v>6.37</v>
      </c>
      <c r="G28" s="12">
        <v>12</v>
      </c>
      <c r="H28" s="8">
        <v>7.1</v>
      </c>
      <c r="I28" s="12">
        <v>0</v>
      </c>
    </row>
    <row r="29" spans="2:9" ht="15" customHeight="1" x14ac:dyDescent="0.2">
      <c r="B29" t="s">
        <v>112</v>
      </c>
      <c r="C29" s="12">
        <v>36</v>
      </c>
      <c r="D29" s="8">
        <v>6.5</v>
      </c>
      <c r="E29" s="12">
        <v>24</v>
      </c>
      <c r="F29" s="8">
        <v>6.37</v>
      </c>
      <c r="G29" s="12">
        <v>9</v>
      </c>
      <c r="H29" s="8">
        <v>5.33</v>
      </c>
      <c r="I29" s="12">
        <v>3</v>
      </c>
    </row>
    <row r="30" spans="2:9" ht="15" customHeight="1" x14ac:dyDescent="0.2">
      <c r="B30" t="s">
        <v>105</v>
      </c>
      <c r="C30" s="12">
        <v>33</v>
      </c>
      <c r="D30" s="8">
        <v>5.96</v>
      </c>
      <c r="E30" s="12">
        <v>21</v>
      </c>
      <c r="F30" s="8">
        <v>5.57</v>
      </c>
      <c r="G30" s="12">
        <v>12</v>
      </c>
      <c r="H30" s="8">
        <v>7.1</v>
      </c>
      <c r="I30" s="12">
        <v>0</v>
      </c>
    </row>
    <row r="31" spans="2:9" ht="15" customHeight="1" x14ac:dyDescent="0.2">
      <c r="B31" t="s">
        <v>103</v>
      </c>
      <c r="C31" s="12">
        <v>26</v>
      </c>
      <c r="D31" s="8">
        <v>4.6900000000000004</v>
      </c>
      <c r="E31" s="12">
        <v>22</v>
      </c>
      <c r="F31" s="8">
        <v>5.84</v>
      </c>
      <c r="G31" s="12">
        <v>4</v>
      </c>
      <c r="H31" s="8">
        <v>2.37</v>
      </c>
      <c r="I31" s="12">
        <v>0</v>
      </c>
    </row>
    <row r="32" spans="2:9" ht="15" customHeight="1" x14ac:dyDescent="0.2">
      <c r="B32" t="s">
        <v>96</v>
      </c>
      <c r="C32" s="12">
        <v>25</v>
      </c>
      <c r="D32" s="8">
        <v>4.51</v>
      </c>
      <c r="E32" s="12">
        <v>12</v>
      </c>
      <c r="F32" s="8">
        <v>3.18</v>
      </c>
      <c r="G32" s="12">
        <v>13</v>
      </c>
      <c r="H32" s="8">
        <v>7.69</v>
      </c>
      <c r="I32" s="12">
        <v>0</v>
      </c>
    </row>
    <row r="33" spans="2:9" ht="15" customHeight="1" x14ac:dyDescent="0.2">
      <c r="B33" t="s">
        <v>104</v>
      </c>
      <c r="C33" s="12">
        <v>22</v>
      </c>
      <c r="D33" s="8">
        <v>3.97</v>
      </c>
      <c r="E33" s="12">
        <v>15</v>
      </c>
      <c r="F33" s="8">
        <v>3.98</v>
      </c>
      <c r="G33" s="12">
        <v>7</v>
      </c>
      <c r="H33" s="8">
        <v>4.1399999999999997</v>
      </c>
      <c r="I33" s="12">
        <v>0</v>
      </c>
    </row>
    <row r="34" spans="2:9" ht="15" customHeight="1" x14ac:dyDescent="0.2">
      <c r="B34" t="s">
        <v>109</v>
      </c>
      <c r="C34" s="12">
        <v>20</v>
      </c>
      <c r="D34" s="8">
        <v>3.61</v>
      </c>
      <c r="E34" s="12">
        <v>8</v>
      </c>
      <c r="F34" s="8">
        <v>2.12</v>
      </c>
      <c r="G34" s="12">
        <v>12</v>
      </c>
      <c r="H34" s="8">
        <v>7.1</v>
      </c>
      <c r="I34" s="12">
        <v>0</v>
      </c>
    </row>
    <row r="35" spans="2:9" ht="15" customHeight="1" x14ac:dyDescent="0.2">
      <c r="B35" t="s">
        <v>113</v>
      </c>
      <c r="C35" s="12">
        <v>17</v>
      </c>
      <c r="D35" s="8">
        <v>3.07</v>
      </c>
      <c r="E35" s="12">
        <v>17</v>
      </c>
      <c r="F35" s="8">
        <v>4.51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134</v>
      </c>
      <c r="C36" s="12">
        <v>12</v>
      </c>
      <c r="D36" s="8">
        <v>2.17</v>
      </c>
      <c r="E36" s="12">
        <v>5</v>
      </c>
      <c r="F36" s="8">
        <v>1.33</v>
      </c>
      <c r="G36" s="12">
        <v>7</v>
      </c>
      <c r="H36" s="8">
        <v>4.1399999999999997</v>
      </c>
      <c r="I36" s="12">
        <v>0</v>
      </c>
    </row>
    <row r="37" spans="2:9" ht="15" customHeight="1" x14ac:dyDescent="0.2">
      <c r="B37" t="s">
        <v>102</v>
      </c>
      <c r="C37" s="12">
        <v>10</v>
      </c>
      <c r="D37" s="8">
        <v>1.81</v>
      </c>
      <c r="E37" s="12">
        <v>9</v>
      </c>
      <c r="F37" s="8">
        <v>2.39</v>
      </c>
      <c r="G37" s="12">
        <v>1</v>
      </c>
      <c r="H37" s="8">
        <v>0.59</v>
      </c>
      <c r="I37" s="12">
        <v>0</v>
      </c>
    </row>
    <row r="38" spans="2:9" ht="15" customHeight="1" x14ac:dyDescent="0.2">
      <c r="B38" t="s">
        <v>106</v>
      </c>
      <c r="C38" s="12">
        <v>9</v>
      </c>
      <c r="D38" s="8">
        <v>1.62</v>
      </c>
      <c r="E38" s="12">
        <v>5</v>
      </c>
      <c r="F38" s="8">
        <v>1.33</v>
      </c>
      <c r="G38" s="12">
        <v>4</v>
      </c>
      <c r="H38" s="8">
        <v>2.37</v>
      </c>
      <c r="I38" s="12">
        <v>0</v>
      </c>
    </row>
    <row r="39" spans="2:9" ht="15" customHeight="1" x14ac:dyDescent="0.2">
      <c r="B39" t="s">
        <v>97</v>
      </c>
      <c r="C39" s="12">
        <v>8</v>
      </c>
      <c r="D39" s="8">
        <v>1.44</v>
      </c>
      <c r="E39" s="12">
        <v>2</v>
      </c>
      <c r="F39" s="8">
        <v>0.53</v>
      </c>
      <c r="G39" s="12">
        <v>6</v>
      </c>
      <c r="H39" s="8">
        <v>3.55</v>
      </c>
      <c r="I39" s="12">
        <v>0</v>
      </c>
    </row>
    <row r="40" spans="2:9" ht="15" customHeight="1" x14ac:dyDescent="0.2">
      <c r="B40" t="s">
        <v>108</v>
      </c>
      <c r="C40" s="12">
        <v>8</v>
      </c>
      <c r="D40" s="8">
        <v>1.44</v>
      </c>
      <c r="E40" s="12">
        <v>6</v>
      </c>
      <c r="F40" s="8">
        <v>1.59</v>
      </c>
      <c r="G40" s="12">
        <v>2</v>
      </c>
      <c r="H40" s="8">
        <v>1.18</v>
      </c>
      <c r="I40" s="12">
        <v>0</v>
      </c>
    </row>
    <row r="41" spans="2:9" ht="15" customHeight="1" x14ac:dyDescent="0.2">
      <c r="B41" t="s">
        <v>122</v>
      </c>
      <c r="C41" s="12">
        <v>7</v>
      </c>
      <c r="D41" s="8">
        <v>1.26</v>
      </c>
      <c r="E41" s="12">
        <v>5</v>
      </c>
      <c r="F41" s="8">
        <v>1.33</v>
      </c>
      <c r="G41" s="12">
        <v>2</v>
      </c>
      <c r="H41" s="8">
        <v>1.18</v>
      </c>
      <c r="I41" s="12">
        <v>0</v>
      </c>
    </row>
    <row r="42" spans="2:9" ht="15" customHeight="1" x14ac:dyDescent="0.2">
      <c r="B42" t="s">
        <v>126</v>
      </c>
      <c r="C42" s="12">
        <v>6</v>
      </c>
      <c r="D42" s="8">
        <v>1.08</v>
      </c>
      <c r="E42" s="12">
        <v>5</v>
      </c>
      <c r="F42" s="8">
        <v>1.33</v>
      </c>
      <c r="G42" s="12">
        <v>1</v>
      </c>
      <c r="H42" s="8">
        <v>0.59</v>
      </c>
      <c r="I42" s="12">
        <v>0</v>
      </c>
    </row>
    <row r="43" spans="2:9" ht="15" customHeight="1" x14ac:dyDescent="0.2">
      <c r="B43" t="s">
        <v>118</v>
      </c>
      <c r="C43" s="12">
        <v>6</v>
      </c>
      <c r="D43" s="8">
        <v>1.08</v>
      </c>
      <c r="E43" s="12">
        <v>2</v>
      </c>
      <c r="F43" s="8">
        <v>0.53</v>
      </c>
      <c r="G43" s="12">
        <v>4</v>
      </c>
      <c r="H43" s="8">
        <v>2.37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68</v>
      </c>
      <c r="D47" s="8">
        <v>12.27</v>
      </c>
      <c r="E47" s="12">
        <v>62</v>
      </c>
      <c r="F47" s="8">
        <v>16.45</v>
      </c>
      <c r="G47" s="12">
        <v>5</v>
      </c>
      <c r="H47" s="8">
        <v>2.96</v>
      </c>
      <c r="I47" s="12">
        <v>1</v>
      </c>
    </row>
    <row r="48" spans="2:9" ht="15" customHeight="1" x14ac:dyDescent="0.2">
      <c r="B48" t="s">
        <v>205</v>
      </c>
      <c r="C48" s="12">
        <v>23</v>
      </c>
      <c r="D48" s="8">
        <v>4.1500000000000004</v>
      </c>
      <c r="E48" s="12">
        <v>15</v>
      </c>
      <c r="F48" s="8">
        <v>3.98</v>
      </c>
      <c r="G48" s="12">
        <v>8</v>
      </c>
      <c r="H48" s="8">
        <v>4.7300000000000004</v>
      </c>
      <c r="I48" s="12">
        <v>0</v>
      </c>
    </row>
    <row r="49" spans="2:9" ht="15" customHeight="1" x14ac:dyDescent="0.2">
      <c r="B49" t="s">
        <v>168</v>
      </c>
      <c r="C49" s="12">
        <v>20</v>
      </c>
      <c r="D49" s="8">
        <v>3.61</v>
      </c>
      <c r="E49" s="12">
        <v>19</v>
      </c>
      <c r="F49" s="8">
        <v>5.04</v>
      </c>
      <c r="G49" s="12">
        <v>1</v>
      </c>
      <c r="H49" s="8">
        <v>0.59</v>
      </c>
      <c r="I49" s="12">
        <v>0</v>
      </c>
    </row>
    <row r="50" spans="2:9" ht="15" customHeight="1" x14ac:dyDescent="0.2">
      <c r="B50" t="s">
        <v>170</v>
      </c>
      <c r="C50" s="12">
        <v>20</v>
      </c>
      <c r="D50" s="8">
        <v>3.61</v>
      </c>
      <c r="E50" s="12">
        <v>16</v>
      </c>
      <c r="F50" s="8">
        <v>4.24</v>
      </c>
      <c r="G50" s="12">
        <v>4</v>
      </c>
      <c r="H50" s="8">
        <v>2.37</v>
      </c>
      <c r="I50" s="12">
        <v>0</v>
      </c>
    </row>
    <row r="51" spans="2:9" ht="15" customHeight="1" x14ac:dyDescent="0.2">
      <c r="B51" t="s">
        <v>156</v>
      </c>
      <c r="C51" s="12">
        <v>17</v>
      </c>
      <c r="D51" s="8">
        <v>3.07</v>
      </c>
      <c r="E51" s="12">
        <v>11</v>
      </c>
      <c r="F51" s="8">
        <v>2.92</v>
      </c>
      <c r="G51" s="12">
        <v>6</v>
      </c>
      <c r="H51" s="8">
        <v>3.55</v>
      </c>
      <c r="I51" s="12">
        <v>0</v>
      </c>
    </row>
    <row r="52" spans="2:9" ht="15" customHeight="1" x14ac:dyDescent="0.2">
      <c r="B52" t="s">
        <v>154</v>
      </c>
      <c r="C52" s="12">
        <v>16</v>
      </c>
      <c r="D52" s="8">
        <v>2.89</v>
      </c>
      <c r="E52" s="12">
        <v>10</v>
      </c>
      <c r="F52" s="8">
        <v>2.65</v>
      </c>
      <c r="G52" s="12">
        <v>6</v>
      </c>
      <c r="H52" s="8">
        <v>3.55</v>
      </c>
      <c r="I52" s="12">
        <v>0</v>
      </c>
    </row>
    <row r="53" spans="2:9" ht="15" customHeight="1" x14ac:dyDescent="0.2">
      <c r="B53" t="s">
        <v>167</v>
      </c>
      <c r="C53" s="12">
        <v>16</v>
      </c>
      <c r="D53" s="8">
        <v>2.89</v>
      </c>
      <c r="E53" s="12">
        <v>16</v>
      </c>
      <c r="F53" s="8">
        <v>4.24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171</v>
      </c>
      <c r="C54" s="12">
        <v>15</v>
      </c>
      <c r="D54" s="8">
        <v>2.71</v>
      </c>
      <c r="E54" s="12">
        <v>15</v>
      </c>
      <c r="F54" s="8">
        <v>3.98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165</v>
      </c>
      <c r="C55" s="12">
        <v>12</v>
      </c>
      <c r="D55" s="8">
        <v>2.17</v>
      </c>
      <c r="E55" s="12">
        <v>11</v>
      </c>
      <c r="F55" s="8">
        <v>2.92</v>
      </c>
      <c r="G55" s="12">
        <v>1</v>
      </c>
      <c r="H55" s="8">
        <v>0.59</v>
      </c>
      <c r="I55" s="12">
        <v>0</v>
      </c>
    </row>
    <row r="56" spans="2:9" ht="15" customHeight="1" x14ac:dyDescent="0.2">
      <c r="B56" t="s">
        <v>162</v>
      </c>
      <c r="C56" s="12">
        <v>11</v>
      </c>
      <c r="D56" s="8">
        <v>1.99</v>
      </c>
      <c r="E56" s="12">
        <v>5</v>
      </c>
      <c r="F56" s="8">
        <v>1.33</v>
      </c>
      <c r="G56" s="12">
        <v>6</v>
      </c>
      <c r="H56" s="8">
        <v>3.55</v>
      </c>
      <c r="I56" s="12">
        <v>0</v>
      </c>
    </row>
    <row r="57" spans="2:9" ht="15" customHeight="1" x14ac:dyDescent="0.2">
      <c r="B57" t="s">
        <v>158</v>
      </c>
      <c r="C57" s="12">
        <v>10</v>
      </c>
      <c r="D57" s="8">
        <v>1.81</v>
      </c>
      <c r="E57" s="12">
        <v>5</v>
      </c>
      <c r="F57" s="8">
        <v>1.33</v>
      </c>
      <c r="G57" s="12">
        <v>5</v>
      </c>
      <c r="H57" s="8">
        <v>2.96</v>
      </c>
      <c r="I57" s="12">
        <v>0</v>
      </c>
    </row>
    <row r="58" spans="2:9" ht="15" customHeight="1" x14ac:dyDescent="0.2">
      <c r="B58" t="s">
        <v>163</v>
      </c>
      <c r="C58" s="12">
        <v>10</v>
      </c>
      <c r="D58" s="8">
        <v>1.81</v>
      </c>
      <c r="E58" s="12">
        <v>9</v>
      </c>
      <c r="F58" s="8">
        <v>2.39</v>
      </c>
      <c r="G58" s="12">
        <v>1</v>
      </c>
      <c r="H58" s="8">
        <v>0.59</v>
      </c>
      <c r="I58" s="12">
        <v>0</v>
      </c>
    </row>
    <row r="59" spans="2:9" ht="15" customHeight="1" x14ac:dyDescent="0.2">
      <c r="B59" t="s">
        <v>166</v>
      </c>
      <c r="C59" s="12">
        <v>10</v>
      </c>
      <c r="D59" s="8">
        <v>1.81</v>
      </c>
      <c r="E59" s="12">
        <v>10</v>
      </c>
      <c r="F59" s="8">
        <v>2.65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169</v>
      </c>
      <c r="C60" s="12">
        <v>10</v>
      </c>
      <c r="D60" s="8">
        <v>1.81</v>
      </c>
      <c r="E60" s="12">
        <v>7</v>
      </c>
      <c r="F60" s="8">
        <v>1.86</v>
      </c>
      <c r="G60" s="12">
        <v>3</v>
      </c>
      <c r="H60" s="8">
        <v>1.78</v>
      </c>
      <c r="I60" s="12">
        <v>0</v>
      </c>
    </row>
    <row r="61" spans="2:9" ht="15" customHeight="1" x14ac:dyDescent="0.2">
      <c r="B61" t="s">
        <v>217</v>
      </c>
      <c r="C61" s="12">
        <v>9</v>
      </c>
      <c r="D61" s="8">
        <v>1.62</v>
      </c>
      <c r="E61" s="12">
        <v>8</v>
      </c>
      <c r="F61" s="8">
        <v>2.12</v>
      </c>
      <c r="G61" s="12">
        <v>1</v>
      </c>
      <c r="H61" s="8">
        <v>0.59</v>
      </c>
      <c r="I61" s="12">
        <v>0</v>
      </c>
    </row>
    <row r="62" spans="2:9" ht="15" customHeight="1" x14ac:dyDescent="0.2">
      <c r="B62" t="s">
        <v>210</v>
      </c>
      <c r="C62" s="12">
        <v>9</v>
      </c>
      <c r="D62" s="8">
        <v>1.62</v>
      </c>
      <c r="E62" s="12">
        <v>9</v>
      </c>
      <c r="F62" s="8">
        <v>2.39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153</v>
      </c>
      <c r="C63" s="12">
        <v>8</v>
      </c>
      <c r="D63" s="8">
        <v>1.44</v>
      </c>
      <c r="E63" s="12">
        <v>2</v>
      </c>
      <c r="F63" s="8">
        <v>0.53</v>
      </c>
      <c r="G63" s="12">
        <v>6</v>
      </c>
      <c r="H63" s="8">
        <v>3.55</v>
      </c>
      <c r="I63" s="12">
        <v>0</v>
      </c>
    </row>
    <row r="64" spans="2:9" ht="15" customHeight="1" x14ac:dyDescent="0.2">
      <c r="B64" t="s">
        <v>159</v>
      </c>
      <c r="C64" s="12">
        <v>8</v>
      </c>
      <c r="D64" s="8">
        <v>1.44</v>
      </c>
      <c r="E64" s="12">
        <v>5</v>
      </c>
      <c r="F64" s="8">
        <v>1.33</v>
      </c>
      <c r="G64" s="12">
        <v>3</v>
      </c>
      <c r="H64" s="8">
        <v>1.78</v>
      </c>
      <c r="I64" s="12">
        <v>0</v>
      </c>
    </row>
    <row r="65" spans="2:9" ht="15" customHeight="1" x14ac:dyDescent="0.2">
      <c r="B65" t="s">
        <v>249</v>
      </c>
      <c r="C65" s="12">
        <v>8</v>
      </c>
      <c r="D65" s="8">
        <v>1.44</v>
      </c>
      <c r="E65" s="12">
        <v>4</v>
      </c>
      <c r="F65" s="8">
        <v>1.06</v>
      </c>
      <c r="G65" s="12">
        <v>4</v>
      </c>
      <c r="H65" s="8">
        <v>2.37</v>
      </c>
      <c r="I65" s="12">
        <v>0</v>
      </c>
    </row>
    <row r="66" spans="2:9" ht="15" customHeight="1" x14ac:dyDescent="0.2">
      <c r="B66" t="s">
        <v>155</v>
      </c>
      <c r="C66" s="12">
        <v>7</v>
      </c>
      <c r="D66" s="8">
        <v>1.26</v>
      </c>
      <c r="E66" s="12">
        <v>2</v>
      </c>
      <c r="F66" s="8">
        <v>0.53</v>
      </c>
      <c r="G66" s="12">
        <v>5</v>
      </c>
      <c r="H66" s="8">
        <v>2.96</v>
      </c>
      <c r="I66" s="12">
        <v>0</v>
      </c>
    </row>
    <row r="67" spans="2:9" ht="15" customHeight="1" x14ac:dyDescent="0.2">
      <c r="B67" t="s">
        <v>196</v>
      </c>
      <c r="C67" s="12">
        <v>7</v>
      </c>
      <c r="D67" s="8">
        <v>1.26</v>
      </c>
      <c r="E67" s="12">
        <v>2</v>
      </c>
      <c r="F67" s="8">
        <v>0.53</v>
      </c>
      <c r="G67" s="12">
        <v>5</v>
      </c>
      <c r="H67" s="8">
        <v>2.96</v>
      </c>
      <c r="I67" s="12">
        <v>0</v>
      </c>
    </row>
    <row r="68" spans="2:9" ht="15" customHeight="1" x14ac:dyDescent="0.2">
      <c r="B68" t="s">
        <v>188</v>
      </c>
      <c r="C68" s="12">
        <v>7</v>
      </c>
      <c r="D68" s="8">
        <v>1.26</v>
      </c>
      <c r="E68" s="12">
        <v>5</v>
      </c>
      <c r="F68" s="8">
        <v>1.33</v>
      </c>
      <c r="G68" s="12">
        <v>2</v>
      </c>
      <c r="H68" s="8">
        <v>1.18</v>
      </c>
      <c r="I68" s="12">
        <v>0</v>
      </c>
    </row>
    <row r="70" spans="2:9" ht="15" customHeight="1" x14ac:dyDescent="0.2">
      <c r="B7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94B7C-9304-4B07-88AC-062AC8BB1866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346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116</v>
      </c>
      <c r="D6" s="8">
        <v>17.39</v>
      </c>
      <c r="E6" s="12">
        <v>35</v>
      </c>
      <c r="F6" s="8">
        <v>9.43</v>
      </c>
      <c r="G6" s="12">
        <v>81</v>
      </c>
      <c r="H6" s="8">
        <v>27.84</v>
      </c>
      <c r="I6" s="12">
        <v>0</v>
      </c>
    </row>
    <row r="7" spans="2:9" ht="15" customHeight="1" x14ac:dyDescent="0.2">
      <c r="B7" t="s">
        <v>73</v>
      </c>
      <c r="C7" s="12">
        <v>63</v>
      </c>
      <c r="D7" s="8">
        <v>9.4499999999999993</v>
      </c>
      <c r="E7" s="12">
        <v>21</v>
      </c>
      <c r="F7" s="8">
        <v>5.66</v>
      </c>
      <c r="G7" s="12">
        <v>42</v>
      </c>
      <c r="H7" s="8">
        <v>14.43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0.45</v>
      </c>
      <c r="E8" s="12">
        <v>0</v>
      </c>
      <c r="F8" s="8">
        <v>0</v>
      </c>
      <c r="G8" s="12">
        <v>3</v>
      </c>
      <c r="H8" s="8">
        <v>1.03</v>
      </c>
      <c r="I8" s="12">
        <v>0</v>
      </c>
    </row>
    <row r="9" spans="2:9" ht="15" customHeight="1" x14ac:dyDescent="0.2">
      <c r="B9" t="s">
        <v>75</v>
      </c>
      <c r="C9" s="12">
        <v>2</v>
      </c>
      <c r="D9" s="8">
        <v>0.3</v>
      </c>
      <c r="E9" s="12">
        <v>0</v>
      </c>
      <c r="F9" s="8">
        <v>0</v>
      </c>
      <c r="G9" s="12">
        <v>2</v>
      </c>
      <c r="H9" s="8">
        <v>0.69</v>
      </c>
      <c r="I9" s="12">
        <v>0</v>
      </c>
    </row>
    <row r="10" spans="2:9" ht="15" customHeight="1" x14ac:dyDescent="0.2">
      <c r="B10" t="s">
        <v>76</v>
      </c>
      <c r="C10" s="12">
        <v>8</v>
      </c>
      <c r="D10" s="8">
        <v>1.2</v>
      </c>
      <c r="E10" s="12">
        <v>1</v>
      </c>
      <c r="F10" s="8">
        <v>0.27</v>
      </c>
      <c r="G10" s="12">
        <v>7</v>
      </c>
      <c r="H10" s="8">
        <v>2.41</v>
      </c>
      <c r="I10" s="12">
        <v>0</v>
      </c>
    </row>
    <row r="11" spans="2:9" ht="15" customHeight="1" x14ac:dyDescent="0.2">
      <c r="B11" t="s">
        <v>77</v>
      </c>
      <c r="C11" s="12">
        <v>116</v>
      </c>
      <c r="D11" s="8">
        <v>17.39</v>
      </c>
      <c r="E11" s="12">
        <v>60</v>
      </c>
      <c r="F11" s="8">
        <v>16.170000000000002</v>
      </c>
      <c r="G11" s="12">
        <v>56</v>
      </c>
      <c r="H11" s="8">
        <v>19.239999999999998</v>
      </c>
      <c r="I11" s="12">
        <v>0</v>
      </c>
    </row>
    <row r="12" spans="2:9" ht="15" customHeight="1" x14ac:dyDescent="0.2">
      <c r="B12" t="s">
        <v>78</v>
      </c>
      <c r="C12" s="12">
        <v>3</v>
      </c>
      <c r="D12" s="8">
        <v>0.45</v>
      </c>
      <c r="E12" s="12">
        <v>1</v>
      </c>
      <c r="F12" s="8">
        <v>0.27</v>
      </c>
      <c r="G12" s="12">
        <v>2</v>
      </c>
      <c r="H12" s="8">
        <v>0.69</v>
      </c>
      <c r="I12" s="12">
        <v>0</v>
      </c>
    </row>
    <row r="13" spans="2:9" ht="15" customHeight="1" x14ac:dyDescent="0.2">
      <c r="B13" t="s">
        <v>79</v>
      </c>
      <c r="C13" s="12">
        <v>49</v>
      </c>
      <c r="D13" s="8">
        <v>7.35</v>
      </c>
      <c r="E13" s="12">
        <v>17</v>
      </c>
      <c r="F13" s="8">
        <v>4.58</v>
      </c>
      <c r="G13" s="12">
        <v>32</v>
      </c>
      <c r="H13" s="8">
        <v>11</v>
      </c>
      <c r="I13" s="12">
        <v>0</v>
      </c>
    </row>
    <row r="14" spans="2:9" ht="15" customHeight="1" x14ac:dyDescent="0.2">
      <c r="B14" t="s">
        <v>80</v>
      </c>
      <c r="C14" s="12">
        <v>29</v>
      </c>
      <c r="D14" s="8">
        <v>4.3499999999999996</v>
      </c>
      <c r="E14" s="12">
        <v>19</v>
      </c>
      <c r="F14" s="8">
        <v>5.12</v>
      </c>
      <c r="G14" s="12">
        <v>10</v>
      </c>
      <c r="H14" s="8">
        <v>3.44</v>
      </c>
      <c r="I14" s="12">
        <v>0</v>
      </c>
    </row>
    <row r="15" spans="2:9" ht="15" customHeight="1" x14ac:dyDescent="0.2">
      <c r="B15" t="s">
        <v>81</v>
      </c>
      <c r="C15" s="12">
        <v>89</v>
      </c>
      <c r="D15" s="8">
        <v>13.34</v>
      </c>
      <c r="E15" s="12">
        <v>77</v>
      </c>
      <c r="F15" s="8">
        <v>20.75</v>
      </c>
      <c r="G15" s="12">
        <v>11</v>
      </c>
      <c r="H15" s="8">
        <v>3.78</v>
      </c>
      <c r="I15" s="12">
        <v>0</v>
      </c>
    </row>
    <row r="16" spans="2:9" ht="15" customHeight="1" x14ac:dyDescent="0.2">
      <c r="B16" t="s">
        <v>82</v>
      </c>
      <c r="C16" s="12">
        <v>93</v>
      </c>
      <c r="D16" s="8">
        <v>13.94</v>
      </c>
      <c r="E16" s="12">
        <v>73</v>
      </c>
      <c r="F16" s="8">
        <v>19.68</v>
      </c>
      <c r="G16" s="12">
        <v>20</v>
      </c>
      <c r="H16" s="8">
        <v>6.87</v>
      </c>
      <c r="I16" s="12">
        <v>0</v>
      </c>
    </row>
    <row r="17" spans="2:9" ht="15" customHeight="1" x14ac:dyDescent="0.2">
      <c r="B17" t="s">
        <v>83</v>
      </c>
      <c r="C17" s="12">
        <v>37</v>
      </c>
      <c r="D17" s="8">
        <v>5.55</v>
      </c>
      <c r="E17" s="12">
        <v>30</v>
      </c>
      <c r="F17" s="8">
        <v>8.09</v>
      </c>
      <c r="G17" s="12">
        <v>7</v>
      </c>
      <c r="H17" s="8">
        <v>2.41</v>
      </c>
      <c r="I17" s="12">
        <v>0</v>
      </c>
    </row>
    <row r="18" spans="2:9" ht="15" customHeight="1" x14ac:dyDescent="0.2">
      <c r="B18" t="s">
        <v>84</v>
      </c>
      <c r="C18" s="12">
        <v>26</v>
      </c>
      <c r="D18" s="8">
        <v>3.9</v>
      </c>
      <c r="E18" s="12">
        <v>22</v>
      </c>
      <c r="F18" s="8">
        <v>5.93</v>
      </c>
      <c r="G18" s="12">
        <v>3</v>
      </c>
      <c r="H18" s="8">
        <v>1.03</v>
      </c>
      <c r="I18" s="12">
        <v>0</v>
      </c>
    </row>
    <row r="19" spans="2:9" ht="15" customHeight="1" x14ac:dyDescent="0.2">
      <c r="B19" t="s">
        <v>85</v>
      </c>
      <c r="C19" s="12">
        <v>33</v>
      </c>
      <c r="D19" s="8">
        <v>4.95</v>
      </c>
      <c r="E19" s="12">
        <v>15</v>
      </c>
      <c r="F19" s="8">
        <v>4.04</v>
      </c>
      <c r="G19" s="12">
        <v>15</v>
      </c>
      <c r="H19" s="8">
        <v>5.15</v>
      </c>
      <c r="I19" s="12">
        <v>0</v>
      </c>
    </row>
    <row r="20" spans="2:9" ht="15" customHeight="1" x14ac:dyDescent="0.2">
      <c r="B20" s="9" t="s">
        <v>277</v>
      </c>
      <c r="C20" s="12">
        <f>SUM(LTBL_23447[総数／事業所数])</f>
        <v>667</v>
      </c>
      <c r="E20" s="12">
        <f>SUBTOTAL(109,LTBL_23447[個人／事業所数])</f>
        <v>371</v>
      </c>
      <c r="G20" s="12">
        <f>SUBTOTAL(109,LTBL_23447[法人／事業所数])</f>
        <v>291</v>
      </c>
      <c r="I20" s="12">
        <f>SUBTOTAL(109,LTBL_23447[法人以外の団体／事業所数])</f>
        <v>0</v>
      </c>
    </row>
    <row r="21" spans="2:9" ht="15" customHeight="1" x14ac:dyDescent="0.2">
      <c r="E21" s="11">
        <f>LTBL_23447[[#Totals],[個人／事業所数]]/LTBL_23447[[#Totals],[総数／事業所数]]</f>
        <v>0.55622188905547232</v>
      </c>
      <c r="G21" s="11">
        <f>LTBL_23447[[#Totals],[法人／事業所数]]/LTBL_23447[[#Totals],[総数／事業所数]]</f>
        <v>0.43628185907046479</v>
      </c>
      <c r="I21" s="11">
        <f>LTBL_23447[[#Totals],[法人以外の団体／事業所数]]/LTBL_23447[[#Totals],[総数／事業所数]]</f>
        <v>0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81</v>
      </c>
      <c r="D24" s="8">
        <v>12.14</v>
      </c>
      <c r="E24" s="12">
        <v>66</v>
      </c>
      <c r="F24" s="8">
        <v>17.79</v>
      </c>
      <c r="G24" s="12">
        <v>15</v>
      </c>
      <c r="H24" s="8">
        <v>5.15</v>
      </c>
      <c r="I24" s="12">
        <v>0</v>
      </c>
    </row>
    <row r="25" spans="2:9" ht="15" customHeight="1" x14ac:dyDescent="0.2">
      <c r="B25" t="s">
        <v>110</v>
      </c>
      <c r="C25" s="12">
        <v>79</v>
      </c>
      <c r="D25" s="8">
        <v>11.84</v>
      </c>
      <c r="E25" s="12">
        <v>73</v>
      </c>
      <c r="F25" s="8">
        <v>19.68</v>
      </c>
      <c r="G25" s="12">
        <v>6</v>
      </c>
      <c r="H25" s="8">
        <v>2.06</v>
      </c>
      <c r="I25" s="12">
        <v>0</v>
      </c>
    </row>
    <row r="26" spans="2:9" ht="15" customHeight="1" x14ac:dyDescent="0.2">
      <c r="B26" t="s">
        <v>94</v>
      </c>
      <c r="C26" s="12">
        <v>56</v>
      </c>
      <c r="D26" s="8">
        <v>8.4</v>
      </c>
      <c r="E26" s="12">
        <v>16</v>
      </c>
      <c r="F26" s="8">
        <v>4.3099999999999996</v>
      </c>
      <c r="G26" s="12">
        <v>40</v>
      </c>
      <c r="H26" s="8">
        <v>13.75</v>
      </c>
      <c r="I26" s="12">
        <v>0</v>
      </c>
    </row>
    <row r="27" spans="2:9" ht="15" customHeight="1" x14ac:dyDescent="0.2">
      <c r="B27" t="s">
        <v>112</v>
      </c>
      <c r="C27" s="12">
        <v>37</v>
      </c>
      <c r="D27" s="8">
        <v>5.55</v>
      </c>
      <c r="E27" s="12">
        <v>30</v>
      </c>
      <c r="F27" s="8">
        <v>8.09</v>
      </c>
      <c r="G27" s="12">
        <v>7</v>
      </c>
      <c r="H27" s="8">
        <v>2.41</v>
      </c>
      <c r="I27" s="12">
        <v>0</v>
      </c>
    </row>
    <row r="28" spans="2:9" ht="15" customHeight="1" x14ac:dyDescent="0.2">
      <c r="B28" t="s">
        <v>107</v>
      </c>
      <c r="C28" s="12">
        <v>36</v>
      </c>
      <c r="D28" s="8">
        <v>5.4</v>
      </c>
      <c r="E28" s="12">
        <v>12</v>
      </c>
      <c r="F28" s="8">
        <v>3.23</v>
      </c>
      <c r="G28" s="12">
        <v>24</v>
      </c>
      <c r="H28" s="8">
        <v>8.25</v>
      </c>
      <c r="I28" s="12">
        <v>0</v>
      </c>
    </row>
    <row r="29" spans="2:9" ht="15" customHeight="1" x14ac:dyDescent="0.2">
      <c r="B29" t="s">
        <v>95</v>
      </c>
      <c r="C29" s="12">
        <v>34</v>
      </c>
      <c r="D29" s="8">
        <v>5.0999999999999996</v>
      </c>
      <c r="E29" s="12">
        <v>13</v>
      </c>
      <c r="F29" s="8">
        <v>3.5</v>
      </c>
      <c r="G29" s="12">
        <v>21</v>
      </c>
      <c r="H29" s="8">
        <v>7.22</v>
      </c>
      <c r="I29" s="12">
        <v>0</v>
      </c>
    </row>
    <row r="30" spans="2:9" ht="15" customHeight="1" x14ac:dyDescent="0.2">
      <c r="B30" t="s">
        <v>104</v>
      </c>
      <c r="C30" s="12">
        <v>33</v>
      </c>
      <c r="D30" s="8">
        <v>4.95</v>
      </c>
      <c r="E30" s="12">
        <v>23</v>
      </c>
      <c r="F30" s="8">
        <v>6.2</v>
      </c>
      <c r="G30" s="12">
        <v>10</v>
      </c>
      <c r="H30" s="8">
        <v>3.44</v>
      </c>
      <c r="I30" s="12">
        <v>0</v>
      </c>
    </row>
    <row r="31" spans="2:9" ht="15" customHeight="1" x14ac:dyDescent="0.2">
      <c r="B31" t="s">
        <v>105</v>
      </c>
      <c r="C31" s="12">
        <v>31</v>
      </c>
      <c r="D31" s="8">
        <v>4.6500000000000004</v>
      </c>
      <c r="E31" s="12">
        <v>18</v>
      </c>
      <c r="F31" s="8">
        <v>4.8499999999999996</v>
      </c>
      <c r="G31" s="12">
        <v>13</v>
      </c>
      <c r="H31" s="8">
        <v>4.47</v>
      </c>
      <c r="I31" s="12">
        <v>0</v>
      </c>
    </row>
    <row r="32" spans="2:9" ht="15" customHeight="1" x14ac:dyDescent="0.2">
      <c r="B32" t="s">
        <v>96</v>
      </c>
      <c r="C32" s="12">
        <v>26</v>
      </c>
      <c r="D32" s="8">
        <v>3.9</v>
      </c>
      <c r="E32" s="12">
        <v>6</v>
      </c>
      <c r="F32" s="8">
        <v>1.62</v>
      </c>
      <c r="G32" s="12">
        <v>20</v>
      </c>
      <c r="H32" s="8">
        <v>6.87</v>
      </c>
      <c r="I32" s="12">
        <v>0</v>
      </c>
    </row>
    <row r="33" spans="2:9" ht="15" customHeight="1" x14ac:dyDescent="0.2">
      <c r="B33" t="s">
        <v>113</v>
      </c>
      <c r="C33" s="12">
        <v>24</v>
      </c>
      <c r="D33" s="8">
        <v>3.6</v>
      </c>
      <c r="E33" s="12">
        <v>22</v>
      </c>
      <c r="F33" s="8">
        <v>5.93</v>
      </c>
      <c r="G33" s="12">
        <v>2</v>
      </c>
      <c r="H33" s="8">
        <v>0.69</v>
      </c>
      <c r="I33" s="12">
        <v>0</v>
      </c>
    </row>
    <row r="34" spans="2:9" ht="15" customHeight="1" x14ac:dyDescent="0.2">
      <c r="B34" t="s">
        <v>103</v>
      </c>
      <c r="C34" s="12">
        <v>22</v>
      </c>
      <c r="D34" s="8">
        <v>3.3</v>
      </c>
      <c r="E34" s="12">
        <v>13</v>
      </c>
      <c r="F34" s="8">
        <v>3.5</v>
      </c>
      <c r="G34" s="12">
        <v>9</v>
      </c>
      <c r="H34" s="8">
        <v>3.09</v>
      </c>
      <c r="I34" s="12">
        <v>0</v>
      </c>
    </row>
    <row r="35" spans="2:9" ht="15" customHeight="1" x14ac:dyDescent="0.2">
      <c r="B35" t="s">
        <v>109</v>
      </c>
      <c r="C35" s="12">
        <v>16</v>
      </c>
      <c r="D35" s="8">
        <v>2.4</v>
      </c>
      <c r="E35" s="12">
        <v>9</v>
      </c>
      <c r="F35" s="8">
        <v>2.4300000000000002</v>
      </c>
      <c r="G35" s="12">
        <v>7</v>
      </c>
      <c r="H35" s="8">
        <v>2.41</v>
      </c>
      <c r="I35" s="12">
        <v>0</v>
      </c>
    </row>
    <row r="36" spans="2:9" ht="15" customHeight="1" x14ac:dyDescent="0.2">
      <c r="B36" t="s">
        <v>97</v>
      </c>
      <c r="C36" s="12">
        <v>13</v>
      </c>
      <c r="D36" s="8">
        <v>1.95</v>
      </c>
      <c r="E36" s="12">
        <v>2</v>
      </c>
      <c r="F36" s="8">
        <v>0.54</v>
      </c>
      <c r="G36" s="12">
        <v>11</v>
      </c>
      <c r="H36" s="8">
        <v>3.78</v>
      </c>
      <c r="I36" s="12">
        <v>0</v>
      </c>
    </row>
    <row r="37" spans="2:9" ht="15" customHeight="1" x14ac:dyDescent="0.2">
      <c r="B37" t="s">
        <v>122</v>
      </c>
      <c r="C37" s="12">
        <v>13</v>
      </c>
      <c r="D37" s="8">
        <v>1.95</v>
      </c>
      <c r="E37" s="12">
        <v>11</v>
      </c>
      <c r="F37" s="8">
        <v>2.96</v>
      </c>
      <c r="G37" s="12">
        <v>2</v>
      </c>
      <c r="H37" s="8">
        <v>0.69</v>
      </c>
      <c r="I37" s="12">
        <v>0</v>
      </c>
    </row>
    <row r="38" spans="2:9" ht="15" customHeight="1" x14ac:dyDescent="0.2">
      <c r="B38" t="s">
        <v>108</v>
      </c>
      <c r="C38" s="12">
        <v>12</v>
      </c>
      <c r="D38" s="8">
        <v>1.8</v>
      </c>
      <c r="E38" s="12">
        <v>10</v>
      </c>
      <c r="F38" s="8">
        <v>2.7</v>
      </c>
      <c r="G38" s="12">
        <v>2</v>
      </c>
      <c r="H38" s="8">
        <v>0.69</v>
      </c>
      <c r="I38" s="12">
        <v>0</v>
      </c>
    </row>
    <row r="39" spans="2:9" ht="15" customHeight="1" x14ac:dyDescent="0.2">
      <c r="B39" t="s">
        <v>98</v>
      </c>
      <c r="C39" s="12">
        <v>11</v>
      </c>
      <c r="D39" s="8">
        <v>1.65</v>
      </c>
      <c r="E39" s="12">
        <v>5</v>
      </c>
      <c r="F39" s="8">
        <v>1.35</v>
      </c>
      <c r="G39" s="12">
        <v>6</v>
      </c>
      <c r="H39" s="8">
        <v>2.06</v>
      </c>
      <c r="I39" s="12">
        <v>0</v>
      </c>
    </row>
    <row r="40" spans="2:9" ht="15" customHeight="1" x14ac:dyDescent="0.2">
      <c r="B40" t="s">
        <v>102</v>
      </c>
      <c r="C40" s="12">
        <v>10</v>
      </c>
      <c r="D40" s="8">
        <v>1.5</v>
      </c>
      <c r="E40" s="12">
        <v>3</v>
      </c>
      <c r="F40" s="8">
        <v>0.81</v>
      </c>
      <c r="G40" s="12">
        <v>7</v>
      </c>
      <c r="H40" s="8">
        <v>2.41</v>
      </c>
      <c r="I40" s="12">
        <v>0</v>
      </c>
    </row>
    <row r="41" spans="2:9" ht="15" customHeight="1" x14ac:dyDescent="0.2">
      <c r="B41" t="s">
        <v>106</v>
      </c>
      <c r="C41" s="12">
        <v>10</v>
      </c>
      <c r="D41" s="8">
        <v>1.5</v>
      </c>
      <c r="E41" s="12">
        <v>4</v>
      </c>
      <c r="F41" s="8">
        <v>1.08</v>
      </c>
      <c r="G41" s="12">
        <v>6</v>
      </c>
      <c r="H41" s="8">
        <v>2.06</v>
      </c>
      <c r="I41" s="12">
        <v>0</v>
      </c>
    </row>
    <row r="42" spans="2:9" ht="15" customHeight="1" x14ac:dyDescent="0.2">
      <c r="B42" t="s">
        <v>114</v>
      </c>
      <c r="C42" s="12">
        <v>10</v>
      </c>
      <c r="D42" s="8">
        <v>1.5</v>
      </c>
      <c r="E42" s="12">
        <v>2</v>
      </c>
      <c r="F42" s="8">
        <v>0.54</v>
      </c>
      <c r="G42" s="12">
        <v>8</v>
      </c>
      <c r="H42" s="8">
        <v>2.75</v>
      </c>
      <c r="I42" s="12">
        <v>0</v>
      </c>
    </row>
    <row r="43" spans="2:9" ht="15" customHeight="1" x14ac:dyDescent="0.2">
      <c r="B43" t="s">
        <v>99</v>
      </c>
      <c r="C43" s="12">
        <v>8</v>
      </c>
      <c r="D43" s="8">
        <v>1.2</v>
      </c>
      <c r="E43" s="12">
        <v>0</v>
      </c>
      <c r="F43" s="8">
        <v>0</v>
      </c>
      <c r="G43" s="12">
        <v>8</v>
      </c>
      <c r="H43" s="8">
        <v>2.75</v>
      </c>
      <c r="I43" s="12">
        <v>0</v>
      </c>
    </row>
    <row r="44" spans="2:9" ht="15" customHeight="1" x14ac:dyDescent="0.2">
      <c r="B44" t="s">
        <v>135</v>
      </c>
      <c r="C44" s="12">
        <v>8</v>
      </c>
      <c r="D44" s="8">
        <v>1.2</v>
      </c>
      <c r="E44" s="12">
        <v>3</v>
      </c>
      <c r="F44" s="8">
        <v>0.81</v>
      </c>
      <c r="G44" s="12">
        <v>4</v>
      </c>
      <c r="H44" s="8">
        <v>1.37</v>
      </c>
      <c r="I44" s="12">
        <v>0</v>
      </c>
    </row>
    <row r="45" spans="2:9" ht="15" customHeight="1" x14ac:dyDescent="0.2">
      <c r="B45" t="s">
        <v>115</v>
      </c>
      <c r="C45" s="12">
        <v>8</v>
      </c>
      <c r="D45" s="8">
        <v>1.2</v>
      </c>
      <c r="E45" s="12">
        <v>4</v>
      </c>
      <c r="F45" s="8">
        <v>1.08</v>
      </c>
      <c r="G45" s="12">
        <v>4</v>
      </c>
      <c r="H45" s="8">
        <v>1.37</v>
      </c>
      <c r="I45" s="12">
        <v>0</v>
      </c>
    </row>
    <row r="48" spans="2:9" ht="33" customHeight="1" x14ac:dyDescent="0.2">
      <c r="B48" t="s">
        <v>279</v>
      </c>
      <c r="C48" s="10" t="s">
        <v>87</v>
      </c>
      <c r="D48" s="10" t="s">
        <v>88</v>
      </c>
      <c r="E48" s="10" t="s">
        <v>89</v>
      </c>
      <c r="F48" s="10" t="s">
        <v>90</v>
      </c>
      <c r="G48" s="10" t="s">
        <v>91</v>
      </c>
      <c r="H48" s="10" t="s">
        <v>92</v>
      </c>
      <c r="I48" s="10" t="s">
        <v>93</v>
      </c>
    </row>
    <row r="49" spans="2:9" ht="15" customHeight="1" x14ac:dyDescent="0.2">
      <c r="B49" t="s">
        <v>168</v>
      </c>
      <c r="C49" s="12">
        <v>44</v>
      </c>
      <c r="D49" s="8">
        <v>6.6</v>
      </c>
      <c r="E49" s="12">
        <v>38</v>
      </c>
      <c r="F49" s="8">
        <v>10.24</v>
      </c>
      <c r="G49" s="12">
        <v>6</v>
      </c>
      <c r="H49" s="8">
        <v>2.06</v>
      </c>
      <c r="I49" s="12">
        <v>0</v>
      </c>
    </row>
    <row r="50" spans="2:9" ht="15" customHeight="1" x14ac:dyDescent="0.2">
      <c r="B50" t="s">
        <v>164</v>
      </c>
      <c r="C50" s="12">
        <v>24</v>
      </c>
      <c r="D50" s="8">
        <v>3.6</v>
      </c>
      <c r="E50" s="12">
        <v>23</v>
      </c>
      <c r="F50" s="8">
        <v>6.2</v>
      </c>
      <c r="G50" s="12">
        <v>1</v>
      </c>
      <c r="H50" s="8">
        <v>0.34</v>
      </c>
      <c r="I50" s="12">
        <v>0</v>
      </c>
    </row>
    <row r="51" spans="2:9" ht="15" customHeight="1" x14ac:dyDescent="0.2">
      <c r="B51" t="s">
        <v>170</v>
      </c>
      <c r="C51" s="12">
        <v>24</v>
      </c>
      <c r="D51" s="8">
        <v>3.6</v>
      </c>
      <c r="E51" s="12">
        <v>20</v>
      </c>
      <c r="F51" s="8">
        <v>5.39</v>
      </c>
      <c r="G51" s="12">
        <v>4</v>
      </c>
      <c r="H51" s="8">
        <v>1.37</v>
      </c>
      <c r="I51" s="12">
        <v>0</v>
      </c>
    </row>
    <row r="52" spans="2:9" ht="15" customHeight="1" x14ac:dyDescent="0.2">
      <c r="B52" t="s">
        <v>161</v>
      </c>
      <c r="C52" s="12">
        <v>22</v>
      </c>
      <c r="D52" s="8">
        <v>3.3</v>
      </c>
      <c r="E52" s="12">
        <v>10</v>
      </c>
      <c r="F52" s="8">
        <v>2.7</v>
      </c>
      <c r="G52" s="12">
        <v>12</v>
      </c>
      <c r="H52" s="8">
        <v>4.12</v>
      </c>
      <c r="I52" s="12">
        <v>0</v>
      </c>
    </row>
    <row r="53" spans="2:9" ht="15" customHeight="1" x14ac:dyDescent="0.2">
      <c r="B53" t="s">
        <v>165</v>
      </c>
      <c r="C53" s="12">
        <v>21</v>
      </c>
      <c r="D53" s="8">
        <v>3.15</v>
      </c>
      <c r="E53" s="12">
        <v>20</v>
      </c>
      <c r="F53" s="8">
        <v>5.39</v>
      </c>
      <c r="G53" s="12">
        <v>1</v>
      </c>
      <c r="H53" s="8">
        <v>0.34</v>
      </c>
      <c r="I53" s="12">
        <v>0</v>
      </c>
    </row>
    <row r="54" spans="2:9" ht="15" customHeight="1" x14ac:dyDescent="0.2">
      <c r="B54" t="s">
        <v>167</v>
      </c>
      <c r="C54" s="12">
        <v>20</v>
      </c>
      <c r="D54" s="8">
        <v>3</v>
      </c>
      <c r="E54" s="12">
        <v>19</v>
      </c>
      <c r="F54" s="8">
        <v>5.12</v>
      </c>
      <c r="G54" s="12">
        <v>1</v>
      </c>
      <c r="H54" s="8">
        <v>0.34</v>
      </c>
      <c r="I54" s="12">
        <v>0</v>
      </c>
    </row>
    <row r="55" spans="2:9" ht="15" customHeight="1" x14ac:dyDescent="0.2">
      <c r="B55" t="s">
        <v>171</v>
      </c>
      <c r="C55" s="12">
        <v>20</v>
      </c>
      <c r="D55" s="8">
        <v>3</v>
      </c>
      <c r="E55" s="12">
        <v>19</v>
      </c>
      <c r="F55" s="8">
        <v>5.12</v>
      </c>
      <c r="G55" s="12">
        <v>1</v>
      </c>
      <c r="H55" s="8">
        <v>0.34</v>
      </c>
      <c r="I55" s="12">
        <v>0</v>
      </c>
    </row>
    <row r="56" spans="2:9" ht="15" customHeight="1" x14ac:dyDescent="0.2">
      <c r="B56" t="s">
        <v>156</v>
      </c>
      <c r="C56" s="12">
        <v>19</v>
      </c>
      <c r="D56" s="8">
        <v>2.85</v>
      </c>
      <c r="E56" s="12">
        <v>14</v>
      </c>
      <c r="F56" s="8">
        <v>3.77</v>
      </c>
      <c r="G56" s="12">
        <v>5</v>
      </c>
      <c r="H56" s="8">
        <v>1.72</v>
      </c>
      <c r="I56" s="12">
        <v>0</v>
      </c>
    </row>
    <row r="57" spans="2:9" ht="15" customHeight="1" x14ac:dyDescent="0.2">
      <c r="B57" t="s">
        <v>152</v>
      </c>
      <c r="C57" s="12">
        <v>17</v>
      </c>
      <c r="D57" s="8">
        <v>2.5499999999999998</v>
      </c>
      <c r="E57" s="12">
        <v>4</v>
      </c>
      <c r="F57" s="8">
        <v>1.08</v>
      </c>
      <c r="G57" s="12">
        <v>13</v>
      </c>
      <c r="H57" s="8">
        <v>4.47</v>
      </c>
      <c r="I57" s="12">
        <v>0</v>
      </c>
    </row>
    <row r="58" spans="2:9" ht="15" customHeight="1" x14ac:dyDescent="0.2">
      <c r="B58" t="s">
        <v>153</v>
      </c>
      <c r="C58" s="12">
        <v>16</v>
      </c>
      <c r="D58" s="8">
        <v>2.4</v>
      </c>
      <c r="E58" s="12">
        <v>1</v>
      </c>
      <c r="F58" s="8">
        <v>0.27</v>
      </c>
      <c r="G58" s="12">
        <v>15</v>
      </c>
      <c r="H58" s="8">
        <v>5.15</v>
      </c>
      <c r="I58" s="12">
        <v>0</v>
      </c>
    </row>
    <row r="59" spans="2:9" ht="15" customHeight="1" x14ac:dyDescent="0.2">
      <c r="B59" t="s">
        <v>205</v>
      </c>
      <c r="C59" s="12">
        <v>16</v>
      </c>
      <c r="D59" s="8">
        <v>2.4</v>
      </c>
      <c r="E59" s="12">
        <v>9</v>
      </c>
      <c r="F59" s="8">
        <v>2.4300000000000002</v>
      </c>
      <c r="G59" s="12">
        <v>7</v>
      </c>
      <c r="H59" s="8">
        <v>2.41</v>
      </c>
      <c r="I59" s="12">
        <v>0</v>
      </c>
    </row>
    <row r="60" spans="2:9" ht="15" customHeight="1" x14ac:dyDescent="0.2">
      <c r="B60" t="s">
        <v>163</v>
      </c>
      <c r="C60" s="12">
        <v>16</v>
      </c>
      <c r="D60" s="8">
        <v>2.4</v>
      </c>
      <c r="E60" s="12">
        <v>14</v>
      </c>
      <c r="F60" s="8">
        <v>3.77</v>
      </c>
      <c r="G60" s="12">
        <v>2</v>
      </c>
      <c r="H60" s="8">
        <v>0.69</v>
      </c>
      <c r="I60" s="12">
        <v>0</v>
      </c>
    </row>
    <row r="61" spans="2:9" ht="15" customHeight="1" x14ac:dyDescent="0.2">
      <c r="B61" t="s">
        <v>158</v>
      </c>
      <c r="C61" s="12">
        <v>15</v>
      </c>
      <c r="D61" s="8">
        <v>2.25</v>
      </c>
      <c r="E61" s="12">
        <v>9</v>
      </c>
      <c r="F61" s="8">
        <v>2.4300000000000002</v>
      </c>
      <c r="G61" s="12">
        <v>6</v>
      </c>
      <c r="H61" s="8">
        <v>2.06</v>
      </c>
      <c r="I61" s="12">
        <v>0</v>
      </c>
    </row>
    <row r="62" spans="2:9" ht="15" customHeight="1" x14ac:dyDescent="0.2">
      <c r="B62" t="s">
        <v>198</v>
      </c>
      <c r="C62" s="12">
        <v>13</v>
      </c>
      <c r="D62" s="8">
        <v>1.95</v>
      </c>
      <c r="E62" s="12">
        <v>8</v>
      </c>
      <c r="F62" s="8">
        <v>2.16</v>
      </c>
      <c r="G62" s="12">
        <v>5</v>
      </c>
      <c r="H62" s="8">
        <v>1.72</v>
      </c>
      <c r="I62" s="12">
        <v>0</v>
      </c>
    </row>
    <row r="63" spans="2:9" ht="15" customHeight="1" x14ac:dyDescent="0.2">
      <c r="B63" t="s">
        <v>169</v>
      </c>
      <c r="C63" s="12">
        <v>13</v>
      </c>
      <c r="D63" s="8">
        <v>1.95</v>
      </c>
      <c r="E63" s="12">
        <v>10</v>
      </c>
      <c r="F63" s="8">
        <v>2.7</v>
      </c>
      <c r="G63" s="12">
        <v>3</v>
      </c>
      <c r="H63" s="8">
        <v>1.03</v>
      </c>
      <c r="I63" s="12">
        <v>0</v>
      </c>
    </row>
    <row r="64" spans="2:9" ht="15" customHeight="1" x14ac:dyDescent="0.2">
      <c r="B64" t="s">
        <v>188</v>
      </c>
      <c r="C64" s="12">
        <v>13</v>
      </c>
      <c r="D64" s="8">
        <v>1.95</v>
      </c>
      <c r="E64" s="12">
        <v>11</v>
      </c>
      <c r="F64" s="8">
        <v>2.96</v>
      </c>
      <c r="G64" s="12">
        <v>2</v>
      </c>
      <c r="H64" s="8">
        <v>0.69</v>
      </c>
      <c r="I64" s="12">
        <v>0</v>
      </c>
    </row>
    <row r="65" spans="2:9" ht="15" customHeight="1" x14ac:dyDescent="0.2">
      <c r="B65" t="s">
        <v>155</v>
      </c>
      <c r="C65" s="12">
        <v>12</v>
      </c>
      <c r="D65" s="8">
        <v>1.8</v>
      </c>
      <c r="E65" s="12">
        <v>4</v>
      </c>
      <c r="F65" s="8">
        <v>1.08</v>
      </c>
      <c r="G65" s="12">
        <v>8</v>
      </c>
      <c r="H65" s="8">
        <v>2.75</v>
      </c>
      <c r="I65" s="12">
        <v>0</v>
      </c>
    </row>
    <row r="66" spans="2:9" ht="15" customHeight="1" x14ac:dyDescent="0.2">
      <c r="B66" t="s">
        <v>196</v>
      </c>
      <c r="C66" s="12">
        <v>11</v>
      </c>
      <c r="D66" s="8">
        <v>1.65</v>
      </c>
      <c r="E66" s="12">
        <v>2</v>
      </c>
      <c r="F66" s="8">
        <v>0.54</v>
      </c>
      <c r="G66" s="12">
        <v>9</v>
      </c>
      <c r="H66" s="8">
        <v>3.09</v>
      </c>
      <c r="I66" s="12">
        <v>0</v>
      </c>
    </row>
    <row r="67" spans="2:9" ht="15" customHeight="1" x14ac:dyDescent="0.2">
      <c r="B67" t="s">
        <v>166</v>
      </c>
      <c r="C67" s="12">
        <v>11</v>
      </c>
      <c r="D67" s="8">
        <v>1.65</v>
      </c>
      <c r="E67" s="12">
        <v>7</v>
      </c>
      <c r="F67" s="8">
        <v>1.89</v>
      </c>
      <c r="G67" s="12">
        <v>4</v>
      </c>
      <c r="H67" s="8">
        <v>1.37</v>
      </c>
      <c r="I67" s="12">
        <v>0</v>
      </c>
    </row>
    <row r="68" spans="2:9" ht="15" customHeight="1" x14ac:dyDescent="0.2">
      <c r="B68" t="s">
        <v>159</v>
      </c>
      <c r="C68" s="12">
        <v>8</v>
      </c>
      <c r="D68" s="8">
        <v>1.2</v>
      </c>
      <c r="E68" s="12">
        <v>4</v>
      </c>
      <c r="F68" s="8">
        <v>1.08</v>
      </c>
      <c r="G68" s="12">
        <v>4</v>
      </c>
      <c r="H68" s="8">
        <v>1.37</v>
      </c>
      <c r="I68" s="12">
        <v>0</v>
      </c>
    </row>
    <row r="69" spans="2:9" ht="15" customHeight="1" x14ac:dyDescent="0.2">
      <c r="B69" t="s">
        <v>174</v>
      </c>
      <c r="C69" s="12">
        <v>8</v>
      </c>
      <c r="D69" s="8">
        <v>1.2</v>
      </c>
      <c r="E69" s="12">
        <v>0</v>
      </c>
      <c r="F69" s="8">
        <v>0</v>
      </c>
      <c r="G69" s="12">
        <v>8</v>
      </c>
      <c r="H69" s="8">
        <v>2.75</v>
      </c>
      <c r="I69" s="12">
        <v>0</v>
      </c>
    </row>
    <row r="70" spans="2:9" ht="15" customHeight="1" x14ac:dyDescent="0.2">
      <c r="B70" t="s">
        <v>162</v>
      </c>
      <c r="C70" s="12">
        <v>8</v>
      </c>
      <c r="D70" s="8">
        <v>1.2</v>
      </c>
      <c r="E70" s="12">
        <v>6</v>
      </c>
      <c r="F70" s="8">
        <v>1.62</v>
      </c>
      <c r="G70" s="12">
        <v>2</v>
      </c>
      <c r="H70" s="8">
        <v>0.69</v>
      </c>
      <c r="I70" s="12">
        <v>0</v>
      </c>
    </row>
    <row r="72" spans="2:9" ht="15" customHeight="1" x14ac:dyDescent="0.2">
      <c r="B72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4A6B-427A-4DFB-BEFA-EFFCE557F6DC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347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134</v>
      </c>
      <c r="D6" s="8">
        <v>19.71</v>
      </c>
      <c r="E6" s="12">
        <v>42</v>
      </c>
      <c r="F6" s="8">
        <v>10.99</v>
      </c>
      <c r="G6" s="12">
        <v>92</v>
      </c>
      <c r="H6" s="8">
        <v>31.83</v>
      </c>
      <c r="I6" s="12">
        <v>0</v>
      </c>
    </row>
    <row r="7" spans="2:9" ht="15" customHeight="1" x14ac:dyDescent="0.2">
      <c r="B7" t="s">
        <v>73</v>
      </c>
      <c r="C7" s="12">
        <v>92</v>
      </c>
      <c r="D7" s="8">
        <v>13.53</v>
      </c>
      <c r="E7" s="12">
        <v>38</v>
      </c>
      <c r="F7" s="8">
        <v>9.9499999999999993</v>
      </c>
      <c r="G7" s="12">
        <v>54</v>
      </c>
      <c r="H7" s="8">
        <v>18.690000000000001</v>
      </c>
      <c r="I7" s="12">
        <v>0</v>
      </c>
    </row>
    <row r="8" spans="2:9" ht="15" customHeight="1" x14ac:dyDescent="0.2">
      <c r="B8" t="s">
        <v>74</v>
      </c>
      <c r="C8" s="12">
        <v>3</v>
      </c>
      <c r="D8" s="8">
        <v>0.44</v>
      </c>
      <c r="E8" s="12">
        <v>0</v>
      </c>
      <c r="F8" s="8">
        <v>0</v>
      </c>
      <c r="G8" s="12">
        <v>3</v>
      </c>
      <c r="H8" s="8">
        <v>1.04</v>
      </c>
      <c r="I8" s="12">
        <v>0</v>
      </c>
    </row>
    <row r="9" spans="2:9" ht="15" customHeight="1" x14ac:dyDescent="0.2">
      <c r="B9" t="s">
        <v>75</v>
      </c>
      <c r="C9" s="12">
        <v>1</v>
      </c>
      <c r="D9" s="8">
        <v>0.15</v>
      </c>
      <c r="E9" s="12">
        <v>1</v>
      </c>
      <c r="F9" s="8">
        <v>0.26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76</v>
      </c>
      <c r="C10" s="12">
        <v>5</v>
      </c>
      <c r="D10" s="8">
        <v>0.74</v>
      </c>
      <c r="E10" s="12">
        <v>2</v>
      </c>
      <c r="F10" s="8">
        <v>0.52</v>
      </c>
      <c r="G10" s="12">
        <v>3</v>
      </c>
      <c r="H10" s="8">
        <v>1.04</v>
      </c>
      <c r="I10" s="12">
        <v>0</v>
      </c>
    </row>
    <row r="11" spans="2:9" ht="15" customHeight="1" x14ac:dyDescent="0.2">
      <c r="B11" t="s">
        <v>77</v>
      </c>
      <c r="C11" s="12">
        <v>136</v>
      </c>
      <c r="D11" s="8">
        <v>20</v>
      </c>
      <c r="E11" s="12">
        <v>79</v>
      </c>
      <c r="F11" s="8">
        <v>20.68</v>
      </c>
      <c r="G11" s="12">
        <v>57</v>
      </c>
      <c r="H11" s="8">
        <v>19.72</v>
      </c>
      <c r="I11" s="12">
        <v>0</v>
      </c>
    </row>
    <row r="12" spans="2:9" ht="15" customHeight="1" x14ac:dyDescent="0.2">
      <c r="B12" t="s">
        <v>78</v>
      </c>
      <c r="C12" s="12">
        <v>3</v>
      </c>
      <c r="D12" s="8">
        <v>0.44</v>
      </c>
      <c r="E12" s="12">
        <v>1</v>
      </c>
      <c r="F12" s="8">
        <v>0.26</v>
      </c>
      <c r="G12" s="12">
        <v>2</v>
      </c>
      <c r="H12" s="8">
        <v>0.69</v>
      </c>
      <c r="I12" s="12">
        <v>0</v>
      </c>
    </row>
    <row r="13" spans="2:9" ht="15" customHeight="1" x14ac:dyDescent="0.2">
      <c r="B13" t="s">
        <v>79</v>
      </c>
      <c r="C13" s="12">
        <v>41</v>
      </c>
      <c r="D13" s="8">
        <v>6.03</v>
      </c>
      <c r="E13" s="12">
        <v>23</v>
      </c>
      <c r="F13" s="8">
        <v>6.02</v>
      </c>
      <c r="G13" s="12">
        <v>18</v>
      </c>
      <c r="H13" s="8">
        <v>6.23</v>
      </c>
      <c r="I13" s="12">
        <v>0</v>
      </c>
    </row>
    <row r="14" spans="2:9" ht="15" customHeight="1" x14ac:dyDescent="0.2">
      <c r="B14" t="s">
        <v>80</v>
      </c>
      <c r="C14" s="12">
        <v>34</v>
      </c>
      <c r="D14" s="8">
        <v>5</v>
      </c>
      <c r="E14" s="12">
        <v>25</v>
      </c>
      <c r="F14" s="8">
        <v>6.54</v>
      </c>
      <c r="G14" s="12">
        <v>9</v>
      </c>
      <c r="H14" s="8">
        <v>3.11</v>
      </c>
      <c r="I14" s="12">
        <v>0</v>
      </c>
    </row>
    <row r="15" spans="2:9" ht="15" customHeight="1" x14ac:dyDescent="0.2">
      <c r="B15" t="s">
        <v>81</v>
      </c>
      <c r="C15" s="12">
        <v>61</v>
      </c>
      <c r="D15" s="8">
        <v>8.9700000000000006</v>
      </c>
      <c r="E15" s="12">
        <v>51</v>
      </c>
      <c r="F15" s="8">
        <v>13.35</v>
      </c>
      <c r="G15" s="12">
        <v>10</v>
      </c>
      <c r="H15" s="8">
        <v>3.46</v>
      </c>
      <c r="I15" s="12">
        <v>0</v>
      </c>
    </row>
    <row r="16" spans="2:9" ht="15" customHeight="1" x14ac:dyDescent="0.2">
      <c r="B16" t="s">
        <v>82</v>
      </c>
      <c r="C16" s="12">
        <v>91</v>
      </c>
      <c r="D16" s="8">
        <v>13.38</v>
      </c>
      <c r="E16" s="12">
        <v>69</v>
      </c>
      <c r="F16" s="8">
        <v>18.059999999999999</v>
      </c>
      <c r="G16" s="12">
        <v>22</v>
      </c>
      <c r="H16" s="8">
        <v>7.61</v>
      </c>
      <c r="I16" s="12">
        <v>0</v>
      </c>
    </row>
    <row r="17" spans="2:9" ht="15" customHeight="1" x14ac:dyDescent="0.2">
      <c r="B17" t="s">
        <v>83</v>
      </c>
      <c r="C17" s="12">
        <v>35</v>
      </c>
      <c r="D17" s="8">
        <v>5.15</v>
      </c>
      <c r="E17" s="12">
        <v>27</v>
      </c>
      <c r="F17" s="8">
        <v>7.07</v>
      </c>
      <c r="G17" s="12">
        <v>6</v>
      </c>
      <c r="H17" s="8">
        <v>2.08</v>
      </c>
      <c r="I17" s="12">
        <v>1</v>
      </c>
    </row>
    <row r="18" spans="2:9" ht="15" customHeight="1" x14ac:dyDescent="0.2">
      <c r="B18" t="s">
        <v>84</v>
      </c>
      <c r="C18" s="12">
        <v>26</v>
      </c>
      <c r="D18" s="8">
        <v>3.82</v>
      </c>
      <c r="E18" s="12">
        <v>14</v>
      </c>
      <c r="F18" s="8">
        <v>3.66</v>
      </c>
      <c r="G18" s="12">
        <v>6</v>
      </c>
      <c r="H18" s="8">
        <v>2.08</v>
      </c>
      <c r="I18" s="12">
        <v>0</v>
      </c>
    </row>
    <row r="19" spans="2:9" ht="15" customHeight="1" x14ac:dyDescent="0.2">
      <c r="B19" t="s">
        <v>85</v>
      </c>
      <c r="C19" s="12">
        <v>18</v>
      </c>
      <c r="D19" s="8">
        <v>2.65</v>
      </c>
      <c r="E19" s="12">
        <v>10</v>
      </c>
      <c r="F19" s="8">
        <v>2.62</v>
      </c>
      <c r="G19" s="12">
        <v>7</v>
      </c>
      <c r="H19" s="8">
        <v>2.42</v>
      </c>
      <c r="I19" s="12">
        <v>0</v>
      </c>
    </row>
    <row r="20" spans="2:9" ht="15" customHeight="1" x14ac:dyDescent="0.2">
      <c r="B20" s="9" t="s">
        <v>277</v>
      </c>
      <c r="C20" s="12">
        <f>SUM(LTBL_23501[総数／事業所数])</f>
        <v>680</v>
      </c>
      <c r="E20" s="12">
        <f>SUBTOTAL(109,LTBL_23501[個人／事業所数])</f>
        <v>382</v>
      </c>
      <c r="G20" s="12">
        <f>SUBTOTAL(109,LTBL_23501[法人／事業所数])</f>
        <v>289</v>
      </c>
      <c r="I20" s="12">
        <f>SUBTOTAL(109,LTBL_23501[法人以外の団体／事業所数])</f>
        <v>1</v>
      </c>
    </row>
    <row r="21" spans="2:9" ht="15" customHeight="1" x14ac:dyDescent="0.2">
      <c r="E21" s="11">
        <f>LTBL_23501[[#Totals],[個人／事業所数]]/LTBL_23501[[#Totals],[総数／事業所数]]</f>
        <v>0.56176470588235294</v>
      </c>
      <c r="G21" s="11">
        <f>LTBL_23501[[#Totals],[法人／事業所数]]/LTBL_23501[[#Totals],[総数／事業所数]]</f>
        <v>0.42499999999999999</v>
      </c>
      <c r="I21" s="11">
        <f>LTBL_23501[[#Totals],[法人以外の団体／事業所数]]/LTBL_23501[[#Totals],[総数／事業所数]]</f>
        <v>1.4705882352941176E-3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111</v>
      </c>
      <c r="C24" s="12">
        <v>73</v>
      </c>
      <c r="D24" s="8">
        <v>10.74</v>
      </c>
      <c r="E24" s="12">
        <v>63</v>
      </c>
      <c r="F24" s="8">
        <v>16.489999999999998</v>
      </c>
      <c r="G24" s="12">
        <v>10</v>
      </c>
      <c r="H24" s="8">
        <v>3.46</v>
      </c>
      <c r="I24" s="12">
        <v>0</v>
      </c>
    </row>
    <row r="25" spans="2:9" ht="15" customHeight="1" x14ac:dyDescent="0.2">
      <c r="B25" t="s">
        <v>95</v>
      </c>
      <c r="C25" s="12">
        <v>59</v>
      </c>
      <c r="D25" s="8">
        <v>8.68</v>
      </c>
      <c r="E25" s="12">
        <v>23</v>
      </c>
      <c r="F25" s="8">
        <v>6.02</v>
      </c>
      <c r="G25" s="12">
        <v>36</v>
      </c>
      <c r="H25" s="8">
        <v>12.46</v>
      </c>
      <c r="I25" s="12">
        <v>0</v>
      </c>
    </row>
    <row r="26" spans="2:9" ht="15" customHeight="1" x14ac:dyDescent="0.2">
      <c r="B26" t="s">
        <v>110</v>
      </c>
      <c r="C26" s="12">
        <v>55</v>
      </c>
      <c r="D26" s="8">
        <v>8.09</v>
      </c>
      <c r="E26" s="12">
        <v>49</v>
      </c>
      <c r="F26" s="8">
        <v>12.83</v>
      </c>
      <c r="G26" s="12">
        <v>6</v>
      </c>
      <c r="H26" s="8">
        <v>2.08</v>
      </c>
      <c r="I26" s="12">
        <v>0</v>
      </c>
    </row>
    <row r="27" spans="2:9" ht="15" customHeight="1" x14ac:dyDescent="0.2">
      <c r="B27" t="s">
        <v>94</v>
      </c>
      <c r="C27" s="12">
        <v>45</v>
      </c>
      <c r="D27" s="8">
        <v>6.62</v>
      </c>
      <c r="E27" s="12">
        <v>11</v>
      </c>
      <c r="F27" s="8">
        <v>2.88</v>
      </c>
      <c r="G27" s="12">
        <v>34</v>
      </c>
      <c r="H27" s="8">
        <v>11.76</v>
      </c>
      <c r="I27" s="12">
        <v>0</v>
      </c>
    </row>
    <row r="28" spans="2:9" ht="15" customHeight="1" x14ac:dyDescent="0.2">
      <c r="B28" t="s">
        <v>105</v>
      </c>
      <c r="C28" s="12">
        <v>41</v>
      </c>
      <c r="D28" s="8">
        <v>6.03</v>
      </c>
      <c r="E28" s="12">
        <v>25</v>
      </c>
      <c r="F28" s="8">
        <v>6.54</v>
      </c>
      <c r="G28" s="12">
        <v>16</v>
      </c>
      <c r="H28" s="8">
        <v>5.54</v>
      </c>
      <c r="I28" s="12">
        <v>0</v>
      </c>
    </row>
    <row r="29" spans="2:9" ht="15" customHeight="1" x14ac:dyDescent="0.2">
      <c r="B29" t="s">
        <v>112</v>
      </c>
      <c r="C29" s="12">
        <v>35</v>
      </c>
      <c r="D29" s="8">
        <v>5.15</v>
      </c>
      <c r="E29" s="12">
        <v>27</v>
      </c>
      <c r="F29" s="8">
        <v>7.07</v>
      </c>
      <c r="G29" s="12">
        <v>6</v>
      </c>
      <c r="H29" s="8">
        <v>2.08</v>
      </c>
      <c r="I29" s="12">
        <v>1</v>
      </c>
    </row>
    <row r="30" spans="2:9" ht="15" customHeight="1" x14ac:dyDescent="0.2">
      <c r="B30" t="s">
        <v>107</v>
      </c>
      <c r="C30" s="12">
        <v>32</v>
      </c>
      <c r="D30" s="8">
        <v>4.71</v>
      </c>
      <c r="E30" s="12">
        <v>20</v>
      </c>
      <c r="F30" s="8">
        <v>5.24</v>
      </c>
      <c r="G30" s="12">
        <v>12</v>
      </c>
      <c r="H30" s="8">
        <v>4.1500000000000004</v>
      </c>
      <c r="I30" s="12">
        <v>0</v>
      </c>
    </row>
    <row r="31" spans="2:9" ht="15" customHeight="1" x14ac:dyDescent="0.2">
      <c r="B31" t="s">
        <v>96</v>
      </c>
      <c r="C31" s="12">
        <v>30</v>
      </c>
      <c r="D31" s="8">
        <v>4.41</v>
      </c>
      <c r="E31" s="12">
        <v>8</v>
      </c>
      <c r="F31" s="8">
        <v>2.09</v>
      </c>
      <c r="G31" s="12">
        <v>22</v>
      </c>
      <c r="H31" s="8">
        <v>7.61</v>
      </c>
      <c r="I31" s="12">
        <v>0</v>
      </c>
    </row>
    <row r="32" spans="2:9" ht="15" customHeight="1" x14ac:dyDescent="0.2">
      <c r="B32" t="s">
        <v>104</v>
      </c>
      <c r="C32" s="12">
        <v>30</v>
      </c>
      <c r="D32" s="8">
        <v>4.41</v>
      </c>
      <c r="E32" s="12">
        <v>22</v>
      </c>
      <c r="F32" s="8">
        <v>5.76</v>
      </c>
      <c r="G32" s="12">
        <v>8</v>
      </c>
      <c r="H32" s="8">
        <v>2.77</v>
      </c>
      <c r="I32" s="12">
        <v>0</v>
      </c>
    </row>
    <row r="33" spans="2:9" ht="15" customHeight="1" x14ac:dyDescent="0.2">
      <c r="B33" t="s">
        <v>103</v>
      </c>
      <c r="C33" s="12">
        <v>21</v>
      </c>
      <c r="D33" s="8">
        <v>3.09</v>
      </c>
      <c r="E33" s="12">
        <v>17</v>
      </c>
      <c r="F33" s="8">
        <v>4.45</v>
      </c>
      <c r="G33" s="12">
        <v>4</v>
      </c>
      <c r="H33" s="8">
        <v>1.38</v>
      </c>
      <c r="I33" s="12">
        <v>0</v>
      </c>
    </row>
    <row r="34" spans="2:9" ht="15" customHeight="1" x14ac:dyDescent="0.2">
      <c r="B34" t="s">
        <v>97</v>
      </c>
      <c r="C34" s="12">
        <v>19</v>
      </c>
      <c r="D34" s="8">
        <v>2.79</v>
      </c>
      <c r="E34" s="12">
        <v>6</v>
      </c>
      <c r="F34" s="8">
        <v>1.57</v>
      </c>
      <c r="G34" s="12">
        <v>13</v>
      </c>
      <c r="H34" s="8">
        <v>4.5</v>
      </c>
      <c r="I34" s="12">
        <v>0</v>
      </c>
    </row>
    <row r="35" spans="2:9" ht="15" customHeight="1" x14ac:dyDescent="0.2">
      <c r="B35" t="s">
        <v>108</v>
      </c>
      <c r="C35" s="12">
        <v>19</v>
      </c>
      <c r="D35" s="8">
        <v>2.79</v>
      </c>
      <c r="E35" s="12">
        <v>15</v>
      </c>
      <c r="F35" s="8">
        <v>3.93</v>
      </c>
      <c r="G35" s="12">
        <v>4</v>
      </c>
      <c r="H35" s="8">
        <v>1.38</v>
      </c>
      <c r="I35" s="12">
        <v>0</v>
      </c>
    </row>
    <row r="36" spans="2:9" ht="15" customHeight="1" x14ac:dyDescent="0.2">
      <c r="B36" t="s">
        <v>113</v>
      </c>
      <c r="C36" s="12">
        <v>16</v>
      </c>
      <c r="D36" s="8">
        <v>2.35</v>
      </c>
      <c r="E36" s="12">
        <v>14</v>
      </c>
      <c r="F36" s="8">
        <v>3.66</v>
      </c>
      <c r="G36" s="12">
        <v>2</v>
      </c>
      <c r="H36" s="8">
        <v>0.69</v>
      </c>
      <c r="I36" s="12">
        <v>0</v>
      </c>
    </row>
    <row r="37" spans="2:9" ht="15" customHeight="1" x14ac:dyDescent="0.2">
      <c r="B37" t="s">
        <v>125</v>
      </c>
      <c r="C37" s="12">
        <v>15</v>
      </c>
      <c r="D37" s="8">
        <v>2.21</v>
      </c>
      <c r="E37" s="12">
        <v>13</v>
      </c>
      <c r="F37" s="8">
        <v>3.4</v>
      </c>
      <c r="G37" s="12">
        <v>2</v>
      </c>
      <c r="H37" s="8">
        <v>0.69</v>
      </c>
      <c r="I37" s="12">
        <v>0</v>
      </c>
    </row>
    <row r="38" spans="2:9" ht="15" customHeight="1" x14ac:dyDescent="0.2">
      <c r="B38" t="s">
        <v>109</v>
      </c>
      <c r="C38" s="12">
        <v>15</v>
      </c>
      <c r="D38" s="8">
        <v>2.21</v>
      </c>
      <c r="E38" s="12">
        <v>10</v>
      </c>
      <c r="F38" s="8">
        <v>2.62</v>
      </c>
      <c r="G38" s="12">
        <v>5</v>
      </c>
      <c r="H38" s="8">
        <v>1.73</v>
      </c>
      <c r="I38" s="12">
        <v>0</v>
      </c>
    </row>
    <row r="39" spans="2:9" ht="15" customHeight="1" x14ac:dyDescent="0.2">
      <c r="B39" t="s">
        <v>98</v>
      </c>
      <c r="C39" s="12">
        <v>11</v>
      </c>
      <c r="D39" s="8">
        <v>1.62</v>
      </c>
      <c r="E39" s="12">
        <v>3</v>
      </c>
      <c r="F39" s="8">
        <v>0.79</v>
      </c>
      <c r="G39" s="12">
        <v>8</v>
      </c>
      <c r="H39" s="8">
        <v>2.77</v>
      </c>
      <c r="I39" s="12">
        <v>0</v>
      </c>
    </row>
    <row r="40" spans="2:9" ht="15" customHeight="1" x14ac:dyDescent="0.2">
      <c r="B40" t="s">
        <v>100</v>
      </c>
      <c r="C40" s="12">
        <v>11</v>
      </c>
      <c r="D40" s="8">
        <v>1.62</v>
      </c>
      <c r="E40" s="12">
        <v>0</v>
      </c>
      <c r="F40" s="8">
        <v>0</v>
      </c>
      <c r="G40" s="12">
        <v>11</v>
      </c>
      <c r="H40" s="8">
        <v>3.81</v>
      </c>
      <c r="I40" s="12">
        <v>0</v>
      </c>
    </row>
    <row r="41" spans="2:9" ht="15" customHeight="1" x14ac:dyDescent="0.2">
      <c r="B41" t="s">
        <v>116</v>
      </c>
      <c r="C41" s="12">
        <v>10</v>
      </c>
      <c r="D41" s="8">
        <v>1.47</v>
      </c>
      <c r="E41" s="12">
        <v>0</v>
      </c>
      <c r="F41" s="8">
        <v>0</v>
      </c>
      <c r="G41" s="12">
        <v>4</v>
      </c>
      <c r="H41" s="8">
        <v>1.38</v>
      </c>
      <c r="I41" s="12">
        <v>0</v>
      </c>
    </row>
    <row r="42" spans="2:9" ht="15" customHeight="1" x14ac:dyDescent="0.2">
      <c r="B42" t="s">
        <v>99</v>
      </c>
      <c r="C42" s="12">
        <v>9</v>
      </c>
      <c r="D42" s="8">
        <v>1.32</v>
      </c>
      <c r="E42" s="12">
        <v>4</v>
      </c>
      <c r="F42" s="8">
        <v>1.05</v>
      </c>
      <c r="G42" s="12">
        <v>5</v>
      </c>
      <c r="H42" s="8">
        <v>1.73</v>
      </c>
      <c r="I42" s="12">
        <v>0</v>
      </c>
    </row>
    <row r="43" spans="2:9" ht="15" customHeight="1" x14ac:dyDescent="0.2">
      <c r="B43" t="s">
        <v>102</v>
      </c>
      <c r="C43" s="12">
        <v>9</v>
      </c>
      <c r="D43" s="8">
        <v>1.32</v>
      </c>
      <c r="E43" s="12">
        <v>7</v>
      </c>
      <c r="F43" s="8">
        <v>1.83</v>
      </c>
      <c r="G43" s="12">
        <v>2</v>
      </c>
      <c r="H43" s="8">
        <v>0.69</v>
      </c>
      <c r="I43" s="12">
        <v>0</v>
      </c>
    </row>
    <row r="44" spans="2:9" ht="15" customHeight="1" x14ac:dyDescent="0.2">
      <c r="B44" t="s">
        <v>115</v>
      </c>
      <c r="C44" s="12">
        <v>9</v>
      </c>
      <c r="D44" s="8">
        <v>1.32</v>
      </c>
      <c r="E44" s="12">
        <v>1</v>
      </c>
      <c r="F44" s="8">
        <v>0.26</v>
      </c>
      <c r="G44" s="12">
        <v>8</v>
      </c>
      <c r="H44" s="8">
        <v>2.77</v>
      </c>
      <c r="I44" s="12">
        <v>0</v>
      </c>
    </row>
    <row r="45" spans="2:9" ht="15" customHeight="1" x14ac:dyDescent="0.2">
      <c r="B45" t="s">
        <v>138</v>
      </c>
      <c r="C45" s="12">
        <v>9</v>
      </c>
      <c r="D45" s="8">
        <v>1.32</v>
      </c>
      <c r="E45" s="12">
        <v>5</v>
      </c>
      <c r="F45" s="8">
        <v>1.31</v>
      </c>
      <c r="G45" s="12">
        <v>4</v>
      </c>
      <c r="H45" s="8">
        <v>1.38</v>
      </c>
      <c r="I45" s="12">
        <v>0</v>
      </c>
    </row>
    <row r="46" spans="2:9" ht="15" customHeight="1" x14ac:dyDescent="0.2">
      <c r="B46" t="s">
        <v>122</v>
      </c>
      <c r="C46" s="12">
        <v>9</v>
      </c>
      <c r="D46" s="8">
        <v>1.32</v>
      </c>
      <c r="E46" s="12">
        <v>7</v>
      </c>
      <c r="F46" s="8">
        <v>1.83</v>
      </c>
      <c r="G46" s="12">
        <v>2</v>
      </c>
      <c r="H46" s="8">
        <v>0.69</v>
      </c>
      <c r="I46" s="12">
        <v>0</v>
      </c>
    </row>
    <row r="49" spans="2:9" ht="33" customHeight="1" x14ac:dyDescent="0.2">
      <c r="B49" t="s">
        <v>279</v>
      </c>
      <c r="C49" s="10" t="s">
        <v>87</v>
      </c>
      <c r="D49" s="10" t="s">
        <v>88</v>
      </c>
      <c r="E49" s="10" t="s">
        <v>89</v>
      </c>
      <c r="F49" s="10" t="s">
        <v>90</v>
      </c>
      <c r="G49" s="10" t="s">
        <v>91</v>
      </c>
      <c r="H49" s="10" t="s">
        <v>92</v>
      </c>
      <c r="I49" s="10" t="s">
        <v>93</v>
      </c>
    </row>
    <row r="50" spans="2:9" ht="15" customHeight="1" x14ac:dyDescent="0.2">
      <c r="B50" t="s">
        <v>168</v>
      </c>
      <c r="C50" s="12">
        <v>34</v>
      </c>
      <c r="D50" s="8">
        <v>5</v>
      </c>
      <c r="E50" s="12">
        <v>31</v>
      </c>
      <c r="F50" s="8">
        <v>8.1199999999999992</v>
      </c>
      <c r="G50" s="12">
        <v>3</v>
      </c>
      <c r="H50" s="8">
        <v>1.04</v>
      </c>
      <c r="I50" s="12">
        <v>0</v>
      </c>
    </row>
    <row r="51" spans="2:9" ht="15" customHeight="1" x14ac:dyDescent="0.2">
      <c r="B51" t="s">
        <v>170</v>
      </c>
      <c r="C51" s="12">
        <v>26</v>
      </c>
      <c r="D51" s="8">
        <v>3.82</v>
      </c>
      <c r="E51" s="12">
        <v>21</v>
      </c>
      <c r="F51" s="8">
        <v>5.5</v>
      </c>
      <c r="G51" s="12">
        <v>4</v>
      </c>
      <c r="H51" s="8">
        <v>1.38</v>
      </c>
      <c r="I51" s="12">
        <v>1</v>
      </c>
    </row>
    <row r="52" spans="2:9" ht="15" customHeight="1" x14ac:dyDescent="0.2">
      <c r="B52" t="s">
        <v>161</v>
      </c>
      <c r="C52" s="12">
        <v>24</v>
      </c>
      <c r="D52" s="8">
        <v>3.53</v>
      </c>
      <c r="E52" s="12">
        <v>15</v>
      </c>
      <c r="F52" s="8">
        <v>3.93</v>
      </c>
      <c r="G52" s="12">
        <v>9</v>
      </c>
      <c r="H52" s="8">
        <v>3.11</v>
      </c>
      <c r="I52" s="12">
        <v>0</v>
      </c>
    </row>
    <row r="53" spans="2:9" ht="15" customHeight="1" x14ac:dyDescent="0.2">
      <c r="B53" t="s">
        <v>167</v>
      </c>
      <c r="C53" s="12">
        <v>24</v>
      </c>
      <c r="D53" s="8">
        <v>3.53</v>
      </c>
      <c r="E53" s="12">
        <v>23</v>
      </c>
      <c r="F53" s="8">
        <v>6.02</v>
      </c>
      <c r="G53" s="12">
        <v>1</v>
      </c>
      <c r="H53" s="8">
        <v>0.35</v>
      </c>
      <c r="I53" s="12">
        <v>0</v>
      </c>
    </row>
    <row r="54" spans="2:9" ht="15" customHeight="1" x14ac:dyDescent="0.2">
      <c r="B54" t="s">
        <v>156</v>
      </c>
      <c r="C54" s="12">
        <v>22</v>
      </c>
      <c r="D54" s="8">
        <v>3.24</v>
      </c>
      <c r="E54" s="12">
        <v>17</v>
      </c>
      <c r="F54" s="8">
        <v>4.45</v>
      </c>
      <c r="G54" s="12">
        <v>5</v>
      </c>
      <c r="H54" s="8">
        <v>1.73</v>
      </c>
      <c r="I54" s="12">
        <v>0</v>
      </c>
    </row>
    <row r="55" spans="2:9" ht="15" customHeight="1" x14ac:dyDescent="0.2">
      <c r="B55" t="s">
        <v>165</v>
      </c>
      <c r="C55" s="12">
        <v>19</v>
      </c>
      <c r="D55" s="8">
        <v>2.79</v>
      </c>
      <c r="E55" s="12">
        <v>19</v>
      </c>
      <c r="F55" s="8">
        <v>4.97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163</v>
      </c>
      <c r="C56" s="12">
        <v>14</v>
      </c>
      <c r="D56" s="8">
        <v>2.06</v>
      </c>
      <c r="E56" s="12">
        <v>11</v>
      </c>
      <c r="F56" s="8">
        <v>2.88</v>
      </c>
      <c r="G56" s="12">
        <v>3</v>
      </c>
      <c r="H56" s="8">
        <v>1.04</v>
      </c>
      <c r="I56" s="12">
        <v>0</v>
      </c>
    </row>
    <row r="57" spans="2:9" ht="15" customHeight="1" x14ac:dyDescent="0.2">
      <c r="B57" t="s">
        <v>153</v>
      </c>
      <c r="C57" s="12">
        <v>13</v>
      </c>
      <c r="D57" s="8">
        <v>1.91</v>
      </c>
      <c r="E57" s="12">
        <v>3</v>
      </c>
      <c r="F57" s="8">
        <v>0.79</v>
      </c>
      <c r="G57" s="12">
        <v>10</v>
      </c>
      <c r="H57" s="8">
        <v>3.46</v>
      </c>
      <c r="I57" s="12">
        <v>0</v>
      </c>
    </row>
    <row r="58" spans="2:9" ht="15" customHeight="1" x14ac:dyDescent="0.2">
      <c r="B58" t="s">
        <v>154</v>
      </c>
      <c r="C58" s="12">
        <v>13</v>
      </c>
      <c r="D58" s="8">
        <v>1.91</v>
      </c>
      <c r="E58" s="12">
        <v>5</v>
      </c>
      <c r="F58" s="8">
        <v>1.31</v>
      </c>
      <c r="G58" s="12">
        <v>8</v>
      </c>
      <c r="H58" s="8">
        <v>2.77</v>
      </c>
      <c r="I58" s="12">
        <v>0</v>
      </c>
    </row>
    <row r="59" spans="2:9" ht="15" customHeight="1" x14ac:dyDescent="0.2">
      <c r="B59" t="s">
        <v>155</v>
      </c>
      <c r="C59" s="12">
        <v>13</v>
      </c>
      <c r="D59" s="8">
        <v>1.91</v>
      </c>
      <c r="E59" s="12">
        <v>3</v>
      </c>
      <c r="F59" s="8">
        <v>0.79</v>
      </c>
      <c r="G59" s="12">
        <v>10</v>
      </c>
      <c r="H59" s="8">
        <v>3.46</v>
      </c>
      <c r="I59" s="12">
        <v>0</v>
      </c>
    </row>
    <row r="60" spans="2:9" ht="15" customHeight="1" x14ac:dyDescent="0.2">
      <c r="B60" t="s">
        <v>171</v>
      </c>
      <c r="C60" s="12">
        <v>13</v>
      </c>
      <c r="D60" s="8">
        <v>1.91</v>
      </c>
      <c r="E60" s="12">
        <v>11</v>
      </c>
      <c r="F60" s="8">
        <v>2.88</v>
      </c>
      <c r="G60" s="12">
        <v>2</v>
      </c>
      <c r="H60" s="8">
        <v>0.69</v>
      </c>
      <c r="I60" s="12">
        <v>0</v>
      </c>
    </row>
    <row r="61" spans="2:9" ht="15" customHeight="1" x14ac:dyDescent="0.2">
      <c r="B61" t="s">
        <v>152</v>
      </c>
      <c r="C61" s="12">
        <v>12</v>
      </c>
      <c r="D61" s="8">
        <v>1.76</v>
      </c>
      <c r="E61" s="12">
        <v>4</v>
      </c>
      <c r="F61" s="8">
        <v>1.05</v>
      </c>
      <c r="G61" s="12">
        <v>8</v>
      </c>
      <c r="H61" s="8">
        <v>2.77</v>
      </c>
      <c r="I61" s="12">
        <v>0</v>
      </c>
    </row>
    <row r="62" spans="2:9" ht="15" customHeight="1" x14ac:dyDescent="0.2">
      <c r="B62" t="s">
        <v>158</v>
      </c>
      <c r="C62" s="12">
        <v>12</v>
      </c>
      <c r="D62" s="8">
        <v>1.76</v>
      </c>
      <c r="E62" s="12">
        <v>8</v>
      </c>
      <c r="F62" s="8">
        <v>2.09</v>
      </c>
      <c r="G62" s="12">
        <v>4</v>
      </c>
      <c r="H62" s="8">
        <v>1.38</v>
      </c>
      <c r="I62" s="12">
        <v>0</v>
      </c>
    </row>
    <row r="63" spans="2:9" ht="15" customHeight="1" x14ac:dyDescent="0.2">
      <c r="B63" t="s">
        <v>199</v>
      </c>
      <c r="C63" s="12">
        <v>11</v>
      </c>
      <c r="D63" s="8">
        <v>1.62</v>
      </c>
      <c r="E63" s="12">
        <v>1</v>
      </c>
      <c r="F63" s="8">
        <v>0.26</v>
      </c>
      <c r="G63" s="12">
        <v>10</v>
      </c>
      <c r="H63" s="8">
        <v>3.46</v>
      </c>
      <c r="I63" s="12">
        <v>0</v>
      </c>
    </row>
    <row r="64" spans="2:9" ht="15" customHeight="1" x14ac:dyDescent="0.2">
      <c r="B64" t="s">
        <v>251</v>
      </c>
      <c r="C64" s="12">
        <v>11</v>
      </c>
      <c r="D64" s="8">
        <v>1.62</v>
      </c>
      <c r="E64" s="12">
        <v>5</v>
      </c>
      <c r="F64" s="8">
        <v>1.31</v>
      </c>
      <c r="G64" s="12">
        <v>6</v>
      </c>
      <c r="H64" s="8">
        <v>2.08</v>
      </c>
      <c r="I64" s="12">
        <v>0</v>
      </c>
    </row>
    <row r="65" spans="2:9" ht="15" customHeight="1" x14ac:dyDescent="0.2">
      <c r="B65" t="s">
        <v>164</v>
      </c>
      <c r="C65" s="12">
        <v>10</v>
      </c>
      <c r="D65" s="8">
        <v>1.47</v>
      </c>
      <c r="E65" s="12">
        <v>8</v>
      </c>
      <c r="F65" s="8">
        <v>2.09</v>
      </c>
      <c r="G65" s="12">
        <v>2</v>
      </c>
      <c r="H65" s="8">
        <v>0.69</v>
      </c>
      <c r="I65" s="12">
        <v>0</v>
      </c>
    </row>
    <row r="66" spans="2:9" ht="15" customHeight="1" x14ac:dyDescent="0.2">
      <c r="B66" t="s">
        <v>186</v>
      </c>
      <c r="C66" s="12">
        <v>9</v>
      </c>
      <c r="D66" s="8">
        <v>1.32</v>
      </c>
      <c r="E66" s="12">
        <v>8</v>
      </c>
      <c r="F66" s="8">
        <v>2.09</v>
      </c>
      <c r="G66" s="12">
        <v>1</v>
      </c>
      <c r="H66" s="8">
        <v>0.35</v>
      </c>
      <c r="I66" s="12">
        <v>0</v>
      </c>
    </row>
    <row r="67" spans="2:9" ht="15" customHeight="1" x14ac:dyDescent="0.2">
      <c r="B67" t="s">
        <v>166</v>
      </c>
      <c r="C67" s="12">
        <v>9</v>
      </c>
      <c r="D67" s="8">
        <v>1.32</v>
      </c>
      <c r="E67" s="12">
        <v>4</v>
      </c>
      <c r="F67" s="8">
        <v>1.05</v>
      </c>
      <c r="G67" s="12">
        <v>5</v>
      </c>
      <c r="H67" s="8">
        <v>1.73</v>
      </c>
      <c r="I67" s="12">
        <v>0</v>
      </c>
    </row>
    <row r="68" spans="2:9" ht="15" customHeight="1" x14ac:dyDescent="0.2">
      <c r="B68" t="s">
        <v>188</v>
      </c>
      <c r="C68" s="12">
        <v>9</v>
      </c>
      <c r="D68" s="8">
        <v>1.32</v>
      </c>
      <c r="E68" s="12">
        <v>7</v>
      </c>
      <c r="F68" s="8">
        <v>1.83</v>
      </c>
      <c r="G68" s="12">
        <v>2</v>
      </c>
      <c r="H68" s="8">
        <v>0.69</v>
      </c>
      <c r="I68" s="12">
        <v>0</v>
      </c>
    </row>
    <row r="69" spans="2:9" ht="15" customHeight="1" x14ac:dyDescent="0.2">
      <c r="B69" t="s">
        <v>205</v>
      </c>
      <c r="C69" s="12">
        <v>8</v>
      </c>
      <c r="D69" s="8">
        <v>1.18</v>
      </c>
      <c r="E69" s="12">
        <v>2</v>
      </c>
      <c r="F69" s="8">
        <v>0.52</v>
      </c>
      <c r="G69" s="12">
        <v>6</v>
      </c>
      <c r="H69" s="8">
        <v>2.08</v>
      </c>
      <c r="I69" s="12">
        <v>0</v>
      </c>
    </row>
    <row r="70" spans="2:9" ht="15" customHeight="1" x14ac:dyDescent="0.2">
      <c r="B70" t="s">
        <v>200</v>
      </c>
      <c r="C70" s="12">
        <v>8</v>
      </c>
      <c r="D70" s="8">
        <v>1.18</v>
      </c>
      <c r="E70" s="12">
        <v>1</v>
      </c>
      <c r="F70" s="8">
        <v>0.26</v>
      </c>
      <c r="G70" s="12">
        <v>7</v>
      </c>
      <c r="H70" s="8">
        <v>2.42</v>
      </c>
      <c r="I70" s="12">
        <v>0</v>
      </c>
    </row>
    <row r="71" spans="2:9" ht="15" customHeight="1" x14ac:dyDescent="0.2">
      <c r="B71" t="s">
        <v>197</v>
      </c>
      <c r="C71" s="12">
        <v>8</v>
      </c>
      <c r="D71" s="8">
        <v>1.18</v>
      </c>
      <c r="E71" s="12">
        <v>3</v>
      </c>
      <c r="F71" s="8">
        <v>0.79</v>
      </c>
      <c r="G71" s="12">
        <v>5</v>
      </c>
      <c r="H71" s="8">
        <v>1.73</v>
      </c>
      <c r="I71" s="12">
        <v>0</v>
      </c>
    </row>
    <row r="72" spans="2:9" ht="15" customHeight="1" x14ac:dyDescent="0.2">
      <c r="B72" t="s">
        <v>218</v>
      </c>
      <c r="C72" s="12">
        <v>8</v>
      </c>
      <c r="D72" s="8">
        <v>1.18</v>
      </c>
      <c r="E72" s="12">
        <v>2</v>
      </c>
      <c r="F72" s="8">
        <v>0.52</v>
      </c>
      <c r="G72" s="12">
        <v>6</v>
      </c>
      <c r="H72" s="8">
        <v>2.08</v>
      </c>
      <c r="I72" s="12">
        <v>0</v>
      </c>
    </row>
    <row r="73" spans="2:9" ht="15" customHeight="1" x14ac:dyDescent="0.2">
      <c r="B73" t="s">
        <v>169</v>
      </c>
      <c r="C73" s="12">
        <v>8</v>
      </c>
      <c r="D73" s="8">
        <v>1.18</v>
      </c>
      <c r="E73" s="12">
        <v>6</v>
      </c>
      <c r="F73" s="8">
        <v>1.57</v>
      </c>
      <c r="G73" s="12">
        <v>2</v>
      </c>
      <c r="H73" s="8">
        <v>0.69</v>
      </c>
      <c r="I73" s="12">
        <v>0</v>
      </c>
    </row>
    <row r="75" spans="2:9" ht="15" customHeight="1" x14ac:dyDescent="0.2">
      <c r="B75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559F-BA96-46E5-AD19-BF625C0F58C6}">
  <sheetPr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348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34</v>
      </c>
      <c r="D6" s="8">
        <v>21.12</v>
      </c>
      <c r="E6" s="12">
        <v>17</v>
      </c>
      <c r="F6" s="8">
        <v>17.350000000000001</v>
      </c>
      <c r="G6" s="12">
        <v>17</v>
      </c>
      <c r="H6" s="8">
        <v>30.91</v>
      </c>
      <c r="I6" s="12">
        <v>0</v>
      </c>
    </row>
    <row r="7" spans="2:9" ht="15" customHeight="1" x14ac:dyDescent="0.2">
      <c r="B7" t="s">
        <v>73</v>
      </c>
      <c r="C7" s="12">
        <v>12</v>
      </c>
      <c r="D7" s="8">
        <v>7.45</v>
      </c>
      <c r="E7" s="12">
        <v>6</v>
      </c>
      <c r="F7" s="8">
        <v>6.12</v>
      </c>
      <c r="G7" s="12">
        <v>6</v>
      </c>
      <c r="H7" s="8">
        <v>10.91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0.62</v>
      </c>
      <c r="E8" s="12">
        <v>0</v>
      </c>
      <c r="F8" s="8">
        <v>0</v>
      </c>
      <c r="G8" s="12">
        <v>1</v>
      </c>
      <c r="H8" s="8">
        <v>1.82</v>
      </c>
      <c r="I8" s="12">
        <v>0</v>
      </c>
    </row>
    <row r="9" spans="2:9" ht="15" customHeight="1" x14ac:dyDescent="0.2">
      <c r="B9" t="s">
        <v>75</v>
      </c>
      <c r="C9" s="12">
        <v>1</v>
      </c>
      <c r="D9" s="8">
        <v>0.62</v>
      </c>
      <c r="E9" s="12">
        <v>0</v>
      </c>
      <c r="F9" s="8">
        <v>0</v>
      </c>
      <c r="G9" s="12">
        <v>1</v>
      </c>
      <c r="H9" s="8">
        <v>1.82</v>
      </c>
      <c r="I9" s="12">
        <v>0</v>
      </c>
    </row>
    <row r="10" spans="2:9" ht="15" customHeight="1" x14ac:dyDescent="0.2">
      <c r="B10" t="s">
        <v>76</v>
      </c>
      <c r="C10" s="12">
        <v>4</v>
      </c>
      <c r="D10" s="8">
        <v>2.48</v>
      </c>
      <c r="E10" s="12">
        <v>1</v>
      </c>
      <c r="F10" s="8">
        <v>1.02</v>
      </c>
      <c r="G10" s="12">
        <v>2</v>
      </c>
      <c r="H10" s="8">
        <v>3.64</v>
      </c>
      <c r="I10" s="12">
        <v>1</v>
      </c>
    </row>
    <row r="11" spans="2:9" ht="15" customHeight="1" x14ac:dyDescent="0.2">
      <c r="B11" t="s">
        <v>77</v>
      </c>
      <c r="C11" s="12">
        <v>42</v>
      </c>
      <c r="D11" s="8">
        <v>26.09</v>
      </c>
      <c r="E11" s="12">
        <v>32</v>
      </c>
      <c r="F11" s="8">
        <v>32.65</v>
      </c>
      <c r="G11" s="12">
        <v>9</v>
      </c>
      <c r="H11" s="8">
        <v>16.36</v>
      </c>
      <c r="I11" s="12">
        <v>1</v>
      </c>
    </row>
    <row r="12" spans="2:9" ht="15" customHeight="1" x14ac:dyDescent="0.2">
      <c r="B12" t="s">
        <v>78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79</v>
      </c>
      <c r="C13" s="12">
        <v>1</v>
      </c>
      <c r="D13" s="8">
        <v>0.62</v>
      </c>
      <c r="E13" s="12">
        <v>0</v>
      </c>
      <c r="F13" s="8">
        <v>0</v>
      </c>
      <c r="G13" s="12">
        <v>1</v>
      </c>
      <c r="H13" s="8">
        <v>1.82</v>
      </c>
      <c r="I13" s="12">
        <v>0</v>
      </c>
    </row>
    <row r="14" spans="2:9" ht="15" customHeight="1" x14ac:dyDescent="0.2">
      <c r="B14" t="s">
        <v>80</v>
      </c>
      <c r="C14" s="12">
        <v>5</v>
      </c>
      <c r="D14" s="8">
        <v>3.11</v>
      </c>
      <c r="E14" s="12">
        <v>2</v>
      </c>
      <c r="F14" s="8">
        <v>2.04</v>
      </c>
      <c r="G14" s="12">
        <v>3</v>
      </c>
      <c r="H14" s="8">
        <v>5.45</v>
      </c>
      <c r="I14" s="12">
        <v>0</v>
      </c>
    </row>
    <row r="15" spans="2:9" ht="15" customHeight="1" x14ac:dyDescent="0.2">
      <c r="B15" t="s">
        <v>81</v>
      </c>
      <c r="C15" s="12">
        <v>21</v>
      </c>
      <c r="D15" s="8">
        <v>13.04</v>
      </c>
      <c r="E15" s="12">
        <v>13</v>
      </c>
      <c r="F15" s="8">
        <v>13.27</v>
      </c>
      <c r="G15" s="12">
        <v>5</v>
      </c>
      <c r="H15" s="8">
        <v>9.09</v>
      </c>
      <c r="I15" s="12">
        <v>0</v>
      </c>
    </row>
    <row r="16" spans="2:9" ht="15" customHeight="1" x14ac:dyDescent="0.2">
      <c r="B16" t="s">
        <v>82</v>
      </c>
      <c r="C16" s="12">
        <v>23</v>
      </c>
      <c r="D16" s="8">
        <v>14.29</v>
      </c>
      <c r="E16" s="12">
        <v>17</v>
      </c>
      <c r="F16" s="8">
        <v>17.350000000000001</v>
      </c>
      <c r="G16" s="12">
        <v>5</v>
      </c>
      <c r="H16" s="8">
        <v>9.09</v>
      </c>
      <c r="I16" s="12">
        <v>0</v>
      </c>
    </row>
    <row r="17" spans="2:9" ht="15" customHeight="1" x14ac:dyDescent="0.2">
      <c r="B17" t="s">
        <v>83</v>
      </c>
      <c r="C17" s="12">
        <v>1</v>
      </c>
      <c r="D17" s="8">
        <v>0.62</v>
      </c>
      <c r="E17" s="12">
        <v>1</v>
      </c>
      <c r="F17" s="8">
        <v>1.02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84</v>
      </c>
      <c r="C18" s="12">
        <v>9</v>
      </c>
      <c r="D18" s="8">
        <v>5.59</v>
      </c>
      <c r="E18" s="12">
        <v>8</v>
      </c>
      <c r="F18" s="8">
        <v>8.16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85</v>
      </c>
      <c r="C19" s="12">
        <v>7</v>
      </c>
      <c r="D19" s="8">
        <v>4.3499999999999996</v>
      </c>
      <c r="E19" s="12">
        <v>1</v>
      </c>
      <c r="F19" s="8">
        <v>1.02</v>
      </c>
      <c r="G19" s="12">
        <v>5</v>
      </c>
      <c r="H19" s="8">
        <v>9.09</v>
      </c>
      <c r="I19" s="12">
        <v>0</v>
      </c>
    </row>
    <row r="20" spans="2:9" ht="15" customHeight="1" x14ac:dyDescent="0.2">
      <c r="B20" s="9" t="s">
        <v>277</v>
      </c>
      <c r="C20" s="12">
        <f>SUM(LTBL_23561[総数／事業所数])</f>
        <v>161</v>
      </c>
      <c r="E20" s="12">
        <f>SUBTOTAL(109,LTBL_23561[個人／事業所数])</f>
        <v>98</v>
      </c>
      <c r="G20" s="12">
        <f>SUBTOTAL(109,LTBL_23561[法人／事業所数])</f>
        <v>55</v>
      </c>
      <c r="I20" s="12">
        <f>SUBTOTAL(109,LTBL_23561[法人以外の団体／事業所数])</f>
        <v>2</v>
      </c>
    </row>
    <row r="21" spans="2:9" ht="15" customHeight="1" x14ac:dyDescent="0.2">
      <c r="E21" s="11">
        <f>LTBL_23561[[#Totals],[個人／事業所数]]/LTBL_23561[[#Totals],[総数／事業所数]]</f>
        <v>0.60869565217391308</v>
      </c>
      <c r="G21" s="11">
        <f>LTBL_23561[[#Totals],[法人／事業所数]]/LTBL_23561[[#Totals],[総数／事業所数]]</f>
        <v>0.34161490683229812</v>
      </c>
      <c r="I21" s="11">
        <f>LTBL_23561[[#Totals],[法人以外の団体／事業所数]]/LTBL_23561[[#Totals],[総数／事業所数]]</f>
        <v>1.2422360248447204E-2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105</v>
      </c>
      <c r="C24" s="12">
        <v>18</v>
      </c>
      <c r="D24" s="8">
        <v>11.18</v>
      </c>
      <c r="E24" s="12">
        <v>14</v>
      </c>
      <c r="F24" s="8">
        <v>14.29</v>
      </c>
      <c r="G24" s="12">
        <v>4</v>
      </c>
      <c r="H24" s="8">
        <v>7.27</v>
      </c>
      <c r="I24" s="12">
        <v>0</v>
      </c>
    </row>
    <row r="25" spans="2:9" ht="15" customHeight="1" x14ac:dyDescent="0.2">
      <c r="B25" t="s">
        <v>111</v>
      </c>
      <c r="C25" s="12">
        <v>18</v>
      </c>
      <c r="D25" s="8">
        <v>11.18</v>
      </c>
      <c r="E25" s="12">
        <v>17</v>
      </c>
      <c r="F25" s="8">
        <v>17.350000000000001</v>
      </c>
      <c r="G25" s="12">
        <v>1</v>
      </c>
      <c r="H25" s="8">
        <v>1.82</v>
      </c>
      <c r="I25" s="12">
        <v>0</v>
      </c>
    </row>
    <row r="26" spans="2:9" ht="15" customHeight="1" x14ac:dyDescent="0.2">
      <c r="B26" t="s">
        <v>94</v>
      </c>
      <c r="C26" s="12">
        <v>14</v>
      </c>
      <c r="D26" s="8">
        <v>8.6999999999999993</v>
      </c>
      <c r="E26" s="12">
        <v>5</v>
      </c>
      <c r="F26" s="8">
        <v>5.0999999999999996</v>
      </c>
      <c r="G26" s="12">
        <v>9</v>
      </c>
      <c r="H26" s="8">
        <v>16.36</v>
      </c>
      <c r="I26" s="12">
        <v>0</v>
      </c>
    </row>
    <row r="27" spans="2:9" ht="15" customHeight="1" x14ac:dyDescent="0.2">
      <c r="B27" t="s">
        <v>95</v>
      </c>
      <c r="C27" s="12">
        <v>11</v>
      </c>
      <c r="D27" s="8">
        <v>6.83</v>
      </c>
      <c r="E27" s="12">
        <v>8</v>
      </c>
      <c r="F27" s="8">
        <v>8.16</v>
      </c>
      <c r="G27" s="12">
        <v>3</v>
      </c>
      <c r="H27" s="8">
        <v>5.45</v>
      </c>
      <c r="I27" s="12">
        <v>0</v>
      </c>
    </row>
    <row r="28" spans="2:9" ht="15" customHeight="1" x14ac:dyDescent="0.2">
      <c r="B28" t="s">
        <v>110</v>
      </c>
      <c r="C28" s="12">
        <v>11</v>
      </c>
      <c r="D28" s="8">
        <v>6.83</v>
      </c>
      <c r="E28" s="12">
        <v>9</v>
      </c>
      <c r="F28" s="8">
        <v>9.18</v>
      </c>
      <c r="G28" s="12">
        <v>2</v>
      </c>
      <c r="H28" s="8">
        <v>3.64</v>
      </c>
      <c r="I28" s="12">
        <v>0</v>
      </c>
    </row>
    <row r="29" spans="2:9" ht="15" customHeight="1" x14ac:dyDescent="0.2">
      <c r="B29" t="s">
        <v>96</v>
      </c>
      <c r="C29" s="12">
        <v>9</v>
      </c>
      <c r="D29" s="8">
        <v>5.59</v>
      </c>
      <c r="E29" s="12">
        <v>4</v>
      </c>
      <c r="F29" s="8">
        <v>4.08</v>
      </c>
      <c r="G29" s="12">
        <v>5</v>
      </c>
      <c r="H29" s="8">
        <v>9.09</v>
      </c>
      <c r="I29" s="12">
        <v>0</v>
      </c>
    </row>
    <row r="30" spans="2:9" ht="15" customHeight="1" x14ac:dyDescent="0.2">
      <c r="B30" t="s">
        <v>103</v>
      </c>
      <c r="C30" s="12">
        <v>9</v>
      </c>
      <c r="D30" s="8">
        <v>5.59</v>
      </c>
      <c r="E30" s="12">
        <v>8</v>
      </c>
      <c r="F30" s="8">
        <v>8.16</v>
      </c>
      <c r="G30" s="12">
        <v>1</v>
      </c>
      <c r="H30" s="8">
        <v>1.82</v>
      </c>
      <c r="I30" s="12">
        <v>0</v>
      </c>
    </row>
    <row r="31" spans="2:9" ht="15" customHeight="1" x14ac:dyDescent="0.2">
      <c r="B31" t="s">
        <v>134</v>
      </c>
      <c r="C31" s="12">
        <v>8</v>
      </c>
      <c r="D31" s="8">
        <v>4.97</v>
      </c>
      <c r="E31" s="12">
        <v>4</v>
      </c>
      <c r="F31" s="8">
        <v>4.08</v>
      </c>
      <c r="G31" s="12">
        <v>3</v>
      </c>
      <c r="H31" s="8">
        <v>5.45</v>
      </c>
      <c r="I31" s="12">
        <v>0</v>
      </c>
    </row>
    <row r="32" spans="2:9" ht="15" customHeight="1" x14ac:dyDescent="0.2">
      <c r="B32" t="s">
        <v>113</v>
      </c>
      <c r="C32" s="12">
        <v>8</v>
      </c>
      <c r="D32" s="8">
        <v>4.97</v>
      </c>
      <c r="E32" s="12">
        <v>8</v>
      </c>
      <c r="F32" s="8">
        <v>8.16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104</v>
      </c>
      <c r="C33" s="12">
        <v>6</v>
      </c>
      <c r="D33" s="8">
        <v>3.73</v>
      </c>
      <c r="E33" s="12">
        <v>5</v>
      </c>
      <c r="F33" s="8">
        <v>5.0999999999999996</v>
      </c>
      <c r="G33" s="12">
        <v>1</v>
      </c>
      <c r="H33" s="8">
        <v>1.82</v>
      </c>
      <c r="I33" s="12">
        <v>0</v>
      </c>
    </row>
    <row r="34" spans="2:9" ht="15" customHeight="1" x14ac:dyDescent="0.2">
      <c r="B34" t="s">
        <v>102</v>
      </c>
      <c r="C34" s="12">
        <v>5</v>
      </c>
      <c r="D34" s="8">
        <v>3.11</v>
      </c>
      <c r="E34" s="12">
        <v>4</v>
      </c>
      <c r="F34" s="8">
        <v>4.08</v>
      </c>
      <c r="G34" s="12">
        <v>1</v>
      </c>
      <c r="H34" s="8">
        <v>1.82</v>
      </c>
      <c r="I34" s="12">
        <v>0</v>
      </c>
    </row>
    <row r="35" spans="2:9" ht="15" customHeight="1" x14ac:dyDescent="0.2">
      <c r="B35" t="s">
        <v>137</v>
      </c>
      <c r="C35" s="12">
        <v>3</v>
      </c>
      <c r="D35" s="8">
        <v>1.86</v>
      </c>
      <c r="E35" s="12">
        <v>2</v>
      </c>
      <c r="F35" s="8">
        <v>2.04</v>
      </c>
      <c r="G35" s="12">
        <v>1</v>
      </c>
      <c r="H35" s="8">
        <v>1.82</v>
      </c>
      <c r="I35" s="12">
        <v>0</v>
      </c>
    </row>
    <row r="36" spans="2:9" ht="15" customHeight="1" x14ac:dyDescent="0.2">
      <c r="B36" t="s">
        <v>108</v>
      </c>
      <c r="C36" s="12">
        <v>3</v>
      </c>
      <c r="D36" s="8">
        <v>1.86</v>
      </c>
      <c r="E36" s="12">
        <v>1</v>
      </c>
      <c r="F36" s="8">
        <v>1.02</v>
      </c>
      <c r="G36" s="12">
        <v>2</v>
      </c>
      <c r="H36" s="8">
        <v>3.64</v>
      </c>
      <c r="I36" s="12">
        <v>0</v>
      </c>
    </row>
    <row r="37" spans="2:9" ht="15" customHeight="1" x14ac:dyDescent="0.2">
      <c r="B37" t="s">
        <v>138</v>
      </c>
      <c r="C37" s="12">
        <v>3</v>
      </c>
      <c r="D37" s="8">
        <v>1.86</v>
      </c>
      <c r="E37" s="12">
        <v>0</v>
      </c>
      <c r="F37" s="8">
        <v>0</v>
      </c>
      <c r="G37" s="12">
        <v>3</v>
      </c>
      <c r="H37" s="8">
        <v>5.45</v>
      </c>
      <c r="I37" s="12">
        <v>0</v>
      </c>
    </row>
    <row r="38" spans="2:9" ht="15" customHeight="1" x14ac:dyDescent="0.2">
      <c r="B38" t="s">
        <v>128</v>
      </c>
      <c r="C38" s="12">
        <v>2</v>
      </c>
      <c r="D38" s="8">
        <v>1.24</v>
      </c>
      <c r="E38" s="12">
        <v>2</v>
      </c>
      <c r="F38" s="8">
        <v>2.04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133</v>
      </c>
      <c r="C39" s="12">
        <v>2</v>
      </c>
      <c r="D39" s="8">
        <v>1.24</v>
      </c>
      <c r="E39" s="12">
        <v>0</v>
      </c>
      <c r="F39" s="8">
        <v>0</v>
      </c>
      <c r="G39" s="12">
        <v>2</v>
      </c>
      <c r="H39" s="8">
        <v>3.64</v>
      </c>
      <c r="I39" s="12">
        <v>0</v>
      </c>
    </row>
    <row r="40" spans="2:9" ht="15" customHeight="1" x14ac:dyDescent="0.2">
      <c r="B40" t="s">
        <v>144</v>
      </c>
      <c r="C40" s="12">
        <v>2</v>
      </c>
      <c r="D40" s="8">
        <v>1.24</v>
      </c>
      <c r="E40" s="12">
        <v>1</v>
      </c>
      <c r="F40" s="8">
        <v>1.02</v>
      </c>
      <c r="G40" s="12">
        <v>1</v>
      </c>
      <c r="H40" s="8">
        <v>1.82</v>
      </c>
      <c r="I40" s="12">
        <v>0</v>
      </c>
    </row>
    <row r="41" spans="2:9" ht="15" customHeight="1" x14ac:dyDescent="0.2">
      <c r="B41" t="s">
        <v>99</v>
      </c>
      <c r="C41" s="12">
        <v>2</v>
      </c>
      <c r="D41" s="8">
        <v>1.24</v>
      </c>
      <c r="E41" s="12">
        <v>1</v>
      </c>
      <c r="F41" s="8">
        <v>1.02</v>
      </c>
      <c r="G41" s="12">
        <v>1</v>
      </c>
      <c r="H41" s="8">
        <v>1.82</v>
      </c>
      <c r="I41" s="12">
        <v>0</v>
      </c>
    </row>
    <row r="42" spans="2:9" ht="15" customHeight="1" x14ac:dyDescent="0.2">
      <c r="B42" t="s">
        <v>109</v>
      </c>
      <c r="C42" s="12">
        <v>2</v>
      </c>
      <c r="D42" s="8">
        <v>1.24</v>
      </c>
      <c r="E42" s="12">
        <v>1</v>
      </c>
      <c r="F42" s="8">
        <v>1.02</v>
      </c>
      <c r="G42" s="12">
        <v>1</v>
      </c>
      <c r="H42" s="8">
        <v>1.82</v>
      </c>
      <c r="I42" s="12">
        <v>0</v>
      </c>
    </row>
    <row r="43" spans="2:9" ht="15" customHeight="1" x14ac:dyDescent="0.2">
      <c r="B43" t="s">
        <v>135</v>
      </c>
      <c r="C43" s="12">
        <v>2</v>
      </c>
      <c r="D43" s="8">
        <v>1.24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115</v>
      </c>
      <c r="C44" s="12">
        <v>2</v>
      </c>
      <c r="D44" s="8">
        <v>1.24</v>
      </c>
      <c r="E44" s="12">
        <v>0</v>
      </c>
      <c r="F44" s="8">
        <v>0</v>
      </c>
      <c r="G44" s="12">
        <v>1</v>
      </c>
      <c r="H44" s="8">
        <v>1.82</v>
      </c>
      <c r="I44" s="12">
        <v>0</v>
      </c>
    </row>
    <row r="45" spans="2:9" ht="15" customHeight="1" x14ac:dyDescent="0.2">
      <c r="B45" t="s">
        <v>141</v>
      </c>
      <c r="C45" s="12">
        <v>2</v>
      </c>
      <c r="D45" s="8">
        <v>1.24</v>
      </c>
      <c r="E45" s="12">
        <v>0</v>
      </c>
      <c r="F45" s="8">
        <v>0</v>
      </c>
      <c r="G45" s="12">
        <v>1</v>
      </c>
      <c r="H45" s="8">
        <v>1.82</v>
      </c>
      <c r="I45" s="12">
        <v>0</v>
      </c>
    </row>
    <row r="46" spans="2:9" ht="15" customHeight="1" x14ac:dyDescent="0.2">
      <c r="B46" t="s">
        <v>114</v>
      </c>
      <c r="C46" s="12">
        <v>2</v>
      </c>
      <c r="D46" s="8">
        <v>1.24</v>
      </c>
      <c r="E46" s="12">
        <v>0</v>
      </c>
      <c r="F46" s="8">
        <v>0</v>
      </c>
      <c r="G46" s="12">
        <v>2</v>
      </c>
      <c r="H46" s="8">
        <v>3.64</v>
      </c>
      <c r="I46" s="12">
        <v>0</v>
      </c>
    </row>
    <row r="49" spans="2:9" ht="33" customHeight="1" x14ac:dyDescent="0.2">
      <c r="B49" t="s">
        <v>279</v>
      </c>
      <c r="C49" s="10" t="s">
        <v>87</v>
      </c>
      <c r="D49" s="10" t="s">
        <v>88</v>
      </c>
      <c r="E49" s="10" t="s">
        <v>89</v>
      </c>
      <c r="F49" s="10" t="s">
        <v>90</v>
      </c>
      <c r="G49" s="10" t="s">
        <v>91</v>
      </c>
      <c r="H49" s="10" t="s">
        <v>92</v>
      </c>
      <c r="I49" s="10" t="s">
        <v>93</v>
      </c>
    </row>
    <row r="50" spans="2:9" ht="15" customHeight="1" x14ac:dyDescent="0.2">
      <c r="B50" t="s">
        <v>152</v>
      </c>
      <c r="C50" s="12">
        <v>7</v>
      </c>
      <c r="D50" s="8">
        <v>4.3499999999999996</v>
      </c>
      <c r="E50" s="12">
        <v>2</v>
      </c>
      <c r="F50" s="8">
        <v>2.04</v>
      </c>
      <c r="G50" s="12">
        <v>5</v>
      </c>
      <c r="H50" s="8">
        <v>9.09</v>
      </c>
      <c r="I50" s="12">
        <v>0</v>
      </c>
    </row>
    <row r="51" spans="2:9" ht="15" customHeight="1" x14ac:dyDescent="0.2">
      <c r="B51" t="s">
        <v>167</v>
      </c>
      <c r="C51" s="12">
        <v>7</v>
      </c>
      <c r="D51" s="8">
        <v>4.3499999999999996</v>
      </c>
      <c r="E51" s="12">
        <v>7</v>
      </c>
      <c r="F51" s="8">
        <v>7.14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168</v>
      </c>
      <c r="C52" s="12">
        <v>7</v>
      </c>
      <c r="D52" s="8">
        <v>4.3499999999999996</v>
      </c>
      <c r="E52" s="12">
        <v>7</v>
      </c>
      <c r="F52" s="8">
        <v>7.14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154</v>
      </c>
      <c r="C53" s="12">
        <v>6</v>
      </c>
      <c r="D53" s="8">
        <v>3.73</v>
      </c>
      <c r="E53" s="12">
        <v>3</v>
      </c>
      <c r="F53" s="8">
        <v>3.06</v>
      </c>
      <c r="G53" s="12">
        <v>3</v>
      </c>
      <c r="H53" s="8">
        <v>5.45</v>
      </c>
      <c r="I53" s="12">
        <v>0</v>
      </c>
    </row>
    <row r="54" spans="2:9" ht="15" customHeight="1" x14ac:dyDescent="0.2">
      <c r="B54" t="s">
        <v>218</v>
      </c>
      <c r="C54" s="12">
        <v>5</v>
      </c>
      <c r="D54" s="8">
        <v>3.11</v>
      </c>
      <c r="E54" s="12">
        <v>3</v>
      </c>
      <c r="F54" s="8">
        <v>3.06</v>
      </c>
      <c r="G54" s="12">
        <v>2</v>
      </c>
      <c r="H54" s="8">
        <v>3.64</v>
      </c>
      <c r="I54" s="12">
        <v>0</v>
      </c>
    </row>
    <row r="55" spans="2:9" ht="15" customHeight="1" x14ac:dyDescent="0.2">
      <c r="B55" t="s">
        <v>260</v>
      </c>
      <c r="C55" s="12">
        <v>5</v>
      </c>
      <c r="D55" s="8">
        <v>3.11</v>
      </c>
      <c r="E55" s="12">
        <v>5</v>
      </c>
      <c r="F55" s="8">
        <v>5.0999999999999996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249</v>
      </c>
      <c r="C56" s="12">
        <v>5</v>
      </c>
      <c r="D56" s="8">
        <v>3.11</v>
      </c>
      <c r="E56" s="12">
        <v>4</v>
      </c>
      <c r="F56" s="8">
        <v>4.08</v>
      </c>
      <c r="G56" s="12">
        <v>1</v>
      </c>
      <c r="H56" s="8">
        <v>1.82</v>
      </c>
      <c r="I56" s="12">
        <v>0</v>
      </c>
    </row>
    <row r="57" spans="2:9" ht="15" customHeight="1" x14ac:dyDescent="0.2">
      <c r="B57" t="s">
        <v>191</v>
      </c>
      <c r="C57" s="12">
        <v>4</v>
      </c>
      <c r="D57" s="8">
        <v>2.48</v>
      </c>
      <c r="E57" s="12">
        <v>3</v>
      </c>
      <c r="F57" s="8">
        <v>3.06</v>
      </c>
      <c r="G57" s="12">
        <v>1</v>
      </c>
      <c r="H57" s="8">
        <v>1.82</v>
      </c>
      <c r="I57" s="12">
        <v>0</v>
      </c>
    </row>
    <row r="58" spans="2:9" ht="15" customHeight="1" x14ac:dyDescent="0.2">
      <c r="B58" t="s">
        <v>163</v>
      </c>
      <c r="C58" s="12">
        <v>4</v>
      </c>
      <c r="D58" s="8">
        <v>2.48</v>
      </c>
      <c r="E58" s="12">
        <v>4</v>
      </c>
      <c r="F58" s="8">
        <v>4.08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166</v>
      </c>
      <c r="C59" s="12">
        <v>4</v>
      </c>
      <c r="D59" s="8">
        <v>2.48</v>
      </c>
      <c r="E59" s="12">
        <v>3</v>
      </c>
      <c r="F59" s="8">
        <v>3.06</v>
      </c>
      <c r="G59" s="12">
        <v>1</v>
      </c>
      <c r="H59" s="8">
        <v>1.82</v>
      </c>
      <c r="I59" s="12">
        <v>0</v>
      </c>
    </row>
    <row r="60" spans="2:9" ht="15" customHeight="1" x14ac:dyDescent="0.2">
      <c r="B60" t="s">
        <v>263</v>
      </c>
      <c r="C60" s="12">
        <v>4</v>
      </c>
      <c r="D60" s="8">
        <v>2.48</v>
      </c>
      <c r="E60" s="12">
        <v>4</v>
      </c>
      <c r="F60" s="8">
        <v>4.08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171</v>
      </c>
      <c r="C61" s="12">
        <v>4</v>
      </c>
      <c r="D61" s="8">
        <v>2.48</v>
      </c>
      <c r="E61" s="12">
        <v>4</v>
      </c>
      <c r="F61" s="8">
        <v>4.08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199</v>
      </c>
      <c r="C62" s="12">
        <v>3</v>
      </c>
      <c r="D62" s="8">
        <v>1.86</v>
      </c>
      <c r="E62" s="12">
        <v>0</v>
      </c>
      <c r="F62" s="8">
        <v>0</v>
      </c>
      <c r="G62" s="12">
        <v>3</v>
      </c>
      <c r="H62" s="8">
        <v>5.45</v>
      </c>
      <c r="I62" s="12">
        <v>0</v>
      </c>
    </row>
    <row r="63" spans="2:9" ht="15" customHeight="1" x14ac:dyDescent="0.2">
      <c r="B63" t="s">
        <v>156</v>
      </c>
      <c r="C63" s="12">
        <v>3</v>
      </c>
      <c r="D63" s="8">
        <v>1.86</v>
      </c>
      <c r="E63" s="12">
        <v>2</v>
      </c>
      <c r="F63" s="8">
        <v>2.04</v>
      </c>
      <c r="G63" s="12">
        <v>1</v>
      </c>
      <c r="H63" s="8">
        <v>1.82</v>
      </c>
      <c r="I63" s="12">
        <v>0</v>
      </c>
    </row>
    <row r="64" spans="2:9" ht="15" customHeight="1" x14ac:dyDescent="0.2">
      <c r="B64" t="s">
        <v>198</v>
      </c>
      <c r="C64" s="12">
        <v>3</v>
      </c>
      <c r="D64" s="8">
        <v>1.86</v>
      </c>
      <c r="E64" s="12">
        <v>3</v>
      </c>
      <c r="F64" s="8">
        <v>3.06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157</v>
      </c>
      <c r="C65" s="12">
        <v>3</v>
      </c>
      <c r="D65" s="8">
        <v>1.86</v>
      </c>
      <c r="E65" s="12">
        <v>2</v>
      </c>
      <c r="F65" s="8">
        <v>2.04</v>
      </c>
      <c r="G65" s="12">
        <v>1</v>
      </c>
      <c r="H65" s="8">
        <v>1.82</v>
      </c>
      <c r="I65" s="12">
        <v>0</v>
      </c>
    </row>
    <row r="66" spans="2:9" ht="15" customHeight="1" x14ac:dyDescent="0.2">
      <c r="B66" t="s">
        <v>261</v>
      </c>
      <c r="C66" s="12">
        <v>3</v>
      </c>
      <c r="D66" s="8">
        <v>1.86</v>
      </c>
      <c r="E66" s="12">
        <v>0</v>
      </c>
      <c r="F66" s="8">
        <v>0</v>
      </c>
      <c r="G66" s="12">
        <v>2</v>
      </c>
      <c r="H66" s="8">
        <v>3.64</v>
      </c>
      <c r="I66" s="12">
        <v>0</v>
      </c>
    </row>
    <row r="67" spans="2:9" ht="15" customHeight="1" x14ac:dyDescent="0.2">
      <c r="B67" t="s">
        <v>153</v>
      </c>
      <c r="C67" s="12">
        <v>2</v>
      </c>
      <c r="D67" s="8">
        <v>1.24</v>
      </c>
      <c r="E67" s="12">
        <v>1</v>
      </c>
      <c r="F67" s="8">
        <v>1.02</v>
      </c>
      <c r="G67" s="12">
        <v>1</v>
      </c>
      <c r="H67" s="8">
        <v>1.82</v>
      </c>
      <c r="I67" s="12">
        <v>0</v>
      </c>
    </row>
    <row r="68" spans="2:9" ht="15" customHeight="1" x14ac:dyDescent="0.2">
      <c r="B68" t="s">
        <v>203</v>
      </c>
      <c r="C68" s="12">
        <v>2</v>
      </c>
      <c r="D68" s="8">
        <v>1.24</v>
      </c>
      <c r="E68" s="12">
        <v>1</v>
      </c>
      <c r="F68" s="8">
        <v>1.02</v>
      </c>
      <c r="G68" s="12">
        <v>1</v>
      </c>
      <c r="H68" s="8">
        <v>1.82</v>
      </c>
      <c r="I68" s="12">
        <v>0</v>
      </c>
    </row>
    <row r="69" spans="2:9" ht="15" customHeight="1" x14ac:dyDescent="0.2">
      <c r="B69" t="s">
        <v>217</v>
      </c>
      <c r="C69" s="12">
        <v>2</v>
      </c>
      <c r="D69" s="8">
        <v>1.24</v>
      </c>
      <c r="E69" s="12">
        <v>2</v>
      </c>
      <c r="F69" s="8">
        <v>2.04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243</v>
      </c>
      <c r="C70" s="12">
        <v>2</v>
      </c>
      <c r="D70" s="8">
        <v>1.24</v>
      </c>
      <c r="E70" s="12">
        <v>2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155</v>
      </c>
      <c r="C71" s="12">
        <v>2</v>
      </c>
      <c r="D71" s="8">
        <v>1.24</v>
      </c>
      <c r="E71" s="12">
        <v>1</v>
      </c>
      <c r="F71" s="8">
        <v>1.02</v>
      </c>
      <c r="G71" s="12">
        <v>1</v>
      </c>
      <c r="H71" s="8">
        <v>1.82</v>
      </c>
      <c r="I71" s="12">
        <v>0</v>
      </c>
    </row>
    <row r="72" spans="2:9" ht="15" customHeight="1" x14ac:dyDescent="0.2">
      <c r="B72" t="s">
        <v>252</v>
      </c>
      <c r="C72" s="12">
        <v>2</v>
      </c>
      <c r="D72" s="8">
        <v>1.24</v>
      </c>
      <c r="E72" s="12">
        <v>2</v>
      </c>
      <c r="F72" s="8">
        <v>2.04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253</v>
      </c>
      <c r="C73" s="12">
        <v>2</v>
      </c>
      <c r="D73" s="8">
        <v>1.24</v>
      </c>
      <c r="E73" s="12">
        <v>0</v>
      </c>
      <c r="F73" s="8">
        <v>0</v>
      </c>
      <c r="G73" s="12">
        <v>2</v>
      </c>
      <c r="H73" s="8">
        <v>3.64</v>
      </c>
      <c r="I73" s="12">
        <v>0</v>
      </c>
    </row>
    <row r="74" spans="2:9" ht="15" customHeight="1" x14ac:dyDescent="0.2">
      <c r="B74" t="s">
        <v>254</v>
      </c>
      <c r="C74" s="12">
        <v>2</v>
      </c>
      <c r="D74" s="8">
        <v>1.24</v>
      </c>
      <c r="E74" s="12">
        <v>2</v>
      </c>
      <c r="F74" s="8">
        <v>2.04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255</v>
      </c>
      <c r="C75" s="12">
        <v>2</v>
      </c>
      <c r="D75" s="8">
        <v>1.24</v>
      </c>
      <c r="E75" s="12">
        <v>1</v>
      </c>
      <c r="F75" s="8">
        <v>1.02</v>
      </c>
      <c r="G75" s="12">
        <v>1</v>
      </c>
      <c r="H75" s="8">
        <v>1.82</v>
      </c>
      <c r="I75" s="12">
        <v>0</v>
      </c>
    </row>
    <row r="76" spans="2:9" ht="15" customHeight="1" x14ac:dyDescent="0.2">
      <c r="B76" t="s">
        <v>224</v>
      </c>
      <c r="C76" s="12">
        <v>2</v>
      </c>
      <c r="D76" s="8">
        <v>1.24</v>
      </c>
      <c r="E76" s="12">
        <v>1</v>
      </c>
      <c r="F76" s="8">
        <v>1.02</v>
      </c>
      <c r="G76" s="12">
        <v>1</v>
      </c>
      <c r="H76" s="8">
        <v>1.82</v>
      </c>
      <c r="I76" s="12">
        <v>0</v>
      </c>
    </row>
    <row r="77" spans="2:9" ht="15" customHeight="1" x14ac:dyDescent="0.2">
      <c r="B77" t="s">
        <v>256</v>
      </c>
      <c r="C77" s="12">
        <v>2</v>
      </c>
      <c r="D77" s="8">
        <v>1.24</v>
      </c>
      <c r="E77" s="12">
        <v>2</v>
      </c>
      <c r="F77" s="8">
        <v>2.04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257</v>
      </c>
      <c r="C78" s="12">
        <v>2</v>
      </c>
      <c r="D78" s="8">
        <v>1.24</v>
      </c>
      <c r="E78" s="12">
        <v>2</v>
      </c>
      <c r="F78" s="8">
        <v>2.04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258</v>
      </c>
      <c r="C79" s="12">
        <v>2</v>
      </c>
      <c r="D79" s="8">
        <v>1.24</v>
      </c>
      <c r="E79" s="12">
        <v>2</v>
      </c>
      <c r="F79" s="8">
        <v>2.04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186</v>
      </c>
      <c r="C80" s="12">
        <v>2</v>
      </c>
      <c r="D80" s="8">
        <v>1.24</v>
      </c>
      <c r="E80" s="12">
        <v>1</v>
      </c>
      <c r="F80" s="8">
        <v>1.02</v>
      </c>
      <c r="G80" s="12">
        <v>1</v>
      </c>
      <c r="H80" s="8">
        <v>1.82</v>
      </c>
      <c r="I80" s="12">
        <v>0</v>
      </c>
    </row>
    <row r="81" spans="2:9" ht="15" customHeight="1" x14ac:dyDescent="0.2">
      <c r="B81" t="s">
        <v>259</v>
      </c>
      <c r="C81" s="12">
        <v>2</v>
      </c>
      <c r="D81" s="8">
        <v>1.24</v>
      </c>
      <c r="E81" s="12">
        <v>1</v>
      </c>
      <c r="F81" s="8">
        <v>1.02</v>
      </c>
      <c r="G81" s="12">
        <v>1</v>
      </c>
      <c r="H81" s="8">
        <v>1.82</v>
      </c>
      <c r="I81" s="12">
        <v>0</v>
      </c>
    </row>
    <row r="82" spans="2:9" ht="15" customHeight="1" x14ac:dyDescent="0.2">
      <c r="B82" t="s">
        <v>158</v>
      </c>
      <c r="C82" s="12">
        <v>2</v>
      </c>
      <c r="D82" s="8">
        <v>1.24</v>
      </c>
      <c r="E82" s="12">
        <v>2</v>
      </c>
      <c r="F82" s="8">
        <v>2.04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222</v>
      </c>
      <c r="C83" s="12">
        <v>2</v>
      </c>
      <c r="D83" s="8">
        <v>1.24</v>
      </c>
      <c r="E83" s="12">
        <v>2</v>
      </c>
      <c r="F83" s="8">
        <v>2.04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262</v>
      </c>
      <c r="C84" s="12">
        <v>2</v>
      </c>
      <c r="D84" s="8">
        <v>1.24</v>
      </c>
      <c r="E84" s="12">
        <v>1</v>
      </c>
      <c r="F84" s="8">
        <v>1.02</v>
      </c>
      <c r="G84" s="12">
        <v>1</v>
      </c>
      <c r="H84" s="8">
        <v>1.82</v>
      </c>
      <c r="I84" s="12">
        <v>0</v>
      </c>
    </row>
    <row r="85" spans="2:9" ht="15" customHeight="1" x14ac:dyDescent="0.2">
      <c r="B85" t="s">
        <v>165</v>
      </c>
      <c r="C85" s="12">
        <v>2</v>
      </c>
      <c r="D85" s="8">
        <v>1.24</v>
      </c>
      <c r="E85" s="12">
        <v>1</v>
      </c>
      <c r="F85" s="8">
        <v>1.02</v>
      </c>
      <c r="G85" s="12">
        <v>1</v>
      </c>
      <c r="H85" s="8">
        <v>1.82</v>
      </c>
      <c r="I85" s="12">
        <v>0</v>
      </c>
    </row>
    <row r="86" spans="2:9" ht="15" customHeight="1" x14ac:dyDescent="0.2">
      <c r="B86" t="s">
        <v>211</v>
      </c>
      <c r="C86" s="12">
        <v>2</v>
      </c>
      <c r="D86" s="8">
        <v>1.24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250</v>
      </c>
      <c r="C87" s="12">
        <v>2</v>
      </c>
      <c r="D87" s="8">
        <v>1.24</v>
      </c>
      <c r="E87" s="12">
        <v>0</v>
      </c>
      <c r="F87" s="8">
        <v>0</v>
      </c>
      <c r="G87" s="12">
        <v>2</v>
      </c>
      <c r="H87" s="8">
        <v>3.64</v>
      </c>
      <c r="I87" s="12">
        <v>0</v>
      </c>
    </row>
    <row r="88" spans="2:9" ht="15" customHeight="1" x14ac:dyDescent="0.2">
      <c r="B88" t="s">
        <v>180</v>
      </c>
      <c r="C88" s="12">
        <v>2</v>
      </c>
      <c r="D88" s="8">
        <v>1.24</v>
      </c>
      <c r="E88" s="12">
        <v>0</v>
      </c>
      <c r="F88" s="8">
        <v>0</v>
      </c>
      <c r="G88" s="12">
        <v>2</v>
      </c>
      <c r="H88" s="8">
        <v>3.64</v>
      </c>
      <c r="I88" s="12">
        <v>0</v>
      </c>
    </row>
    <row r="90" spans="2:9" ht="15" customHeight="1" x14ac:dyDescent="0.2">
      <c r="B90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1780-72C6-4497-BE5D-B394E449711C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349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28</v>
      </c>
      <c r="D6" s="8">
        <v>22.22</v>
      </c>
      <c r="E6" s="12">
        <v>21</v>
      </c>
      <c r="F6" s="8">
        <v>22.58</v>
      </c>
      <c r="G6" s="12">
        <v>7</v>
      </c>
      <c r="H6" s="8">
        <v>24.14</v>
      </c>
      <c r="I6" s="12">
        <v>0</v>
      </c>
    </row>
    <row r="7" spans="2:9" ht="15" customHeight="1" x14ac:dyDescent="0.2">
      <c r="B7" t="s">
        <v>73</v>
      </c>
      <c r="C7" s="12">
        <v>10</v>
      </c>
      <c r="D7" s="8">
        <v>7.94</v>
      </c>
      <c r="E7" s="12">
        <v>6</v>
      </c>
      <c r="F7" s="8">
        <v>6.45</v>
      </c>
      <c r="G7" s="12">
        <v>4</v>
      </c>
      <c r="H7" s="8">
        <v>13.79</v>
      </c>
      <c r="I7" s="12">
        <v>0</v>
      </c>
    </row>
    <row r="8" spans="2:9" ht="15" customHeight="1" x14ac:dyDescent="0.2">
      <c r="B8" t="s">
        <v>74</v>
      </c>
      <c r="C8" s="12">
        <v>1</v>
      </c>
      <c r="D8" s="8">
        <v>0.79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76</v>
      </c>
      <c r="C10" s="12">
        <v>2</v>
      </c>
      <c r="D10" s="8">
        <v>1.59</v>
      </c>
      <c r="E10" s="12">
        <v>0</v>
      </c>
      <c r="F10" s="8">
        <v>0</v>
      </c>
      <c r="G10" s="12">
        <v>1</v>
      </c>
      <c r="H10" s="8">
        <v>3.45</v>
      </c>
      <c r="I10" s="12">
        <v>1</v>
      </c>
    </row>
    <row r="11" spans="2:9" ht="15" customHeight="1" x14ac:dyDescent="0.2">
      <c r="B11" t="s">
        <v>77</v>
      </c>
      <c r="C11" s="12">
        <v>34</v>
      </c>
      <c r="D11" s="8">
        <v>26.98</v>
      </c>
      <c r="E11" s="12">
        <v>28</v>
      </c>
      <c r="F11" s="8">
        <v>30.11</v>
      </c>
      <c r="G11" s="12">
        <v>6</v>
      </c>
      <c r="H11" s="8">
        <v>20.69</v>
      </c>
      <c r="I11" s="12">
        <v>0</v>
      </c>
    </row>
    <row r="12" spans="2:9" ht="15" customHeight="1" x14ac:dyDescent="0.2">
      <c r="B12" t="s">
        <v>78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79</v>
      </c>
      <c r="C13" s="12">
        <v>3</v>
      </c>
      <c r="D13" s="8">
        <v>2.38</v>
      </c>
      <c r="E13" s="12">
        <v>1</v>
      </c>
      <c r="F13" s="8">
        <v>1.08</v>
      </c>
      <c r="G13" s="12">
        <v>2</v>
      </c>
      <c r="H13" s="8">
        <v>6.9</v>
      </c>
      <c r="I13" s="12">
        <v>0</v>
      </c>
    </row>
    <row r="14" spans="2:9" ht="15" customHeight="1" x14ac:dyDescent="0.2">
      <c r="B14" t="s">
        <v>80</v>
      </c>
      <c r="C14" s="12">
        <v>4</v>
      </c>
      <c r="D14" s="8">
        <v>3.17</v>
      </c>
      <c r="E14" s="12">
        <v>3</v>
      </c>
      <c r="F14" s="8">
        <v>3.23</v>
      </c>
      <c r="G14" s="12">
        <v>1</v>
      </c>
      <c r="H14" s="8">
        <v>3.45</v>
      </c>
      <c r="I14" s="12">
        <v>0</v>
      </c>
    </row>
    <row r="15" spans="2:9" ht="15" customHeight="1" x14ac:dyDescent="0.2">
      <c r="B15" t="s">
        <v>81</v>
      </c>
      <c r="C15" s="12">
        <v>21</v>
      </c>
      <c r="D15" s="8">
        <v>16.670000000000002</v>
      </c>
      <c r="E15" s="12">
        <v>14</v>
      </c>
      <c r="F15" s="8">
        <v>15.05</v>
      </c>
      <c r="G15" s="12">
        <v>6</v>
      </c>
      <c r="H15" s="8">
        <v>20.69</v>
      </c>
      <c r="I15" s="12">
        <v>1</v>
      </c>
    </row>
    <row r="16" spans="2:9" ht="15" customHeight="1" x14ac:dyDescent="0.2">
      <c r="B16" t="s">
        <v>82</v>
      </c>
      <c r="C16" s="12">
        <v>10</v>
      </c>
      <c r="D16" s="8">
        <v>7.94</v>
      </c>
      <c r="E16" s="12">
        <v>9</v>
      </c>
      <c r="F16" s="8">
        <v>9.68</v>
      </c>
      <c r="G16" s="12">
        <v>1</v>
      </c>
      <c r="H16" s="8">
        <v>3.45</v>
      </c>
      <c r="I16" s="12">
        <v>0</v>
      </c>
    </row>
    <row r="17" spans="2:9" ht="15" customHeight="1" x14ac:dyDescent="0.2">
      <c r="B17" t="s">
        <v>83</v>
      </c>
      <c r="C17" s="12">
        <v>5</v>
      </c>
      <c r="D17" s="8">
        <v>3.97</v>
      </c>
      <c r="E17" s="12">
        <v>4</v>
      </c>
      <c r="F17" s="8">
        <v>4.3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84</v>
      </c>
      <c r="C18" s="12">
        <v>6</v>
      </c>
      <c r="D18" s="8">
        <v>4.76</v>
      </c>
      <c r="E18" s="12">
        <v>6</v>
      </c>
      <c r="F18" s="8">
        <v>6.45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85</v>
      </c>
      <c r="C19" s="12">
        <v>2</v>
      </c>
      <c r="D19" s="8">
        <v>1.59</v>
      </c>
      <c r="E19" s="12">
        <v>1</v>
      </c>
      <c r="F19" s="8">
        <v>1.08</v>
      </c>
      <c r="G19" s="12">
        <v>1</v>
      </c>
      <c r="H19" s="8">
        <v>3.45</v>
      </c>
      <c r="I19" s="12">
        <v>0</v>
      </c>
    </row>
    <row r="20" spans="2:9" ht="15" customHeight="1" x14ac:dyDescent="0.2">
      <c r="B20" s="9" t="s">
        <v>277</v>
      </c>
      <c r="C20" s="12">
        <f>SUM(LTBL_23562[総数／事業所数])</f>
        <v>126</v>
      </c>
      <c r="E20" s="12">
        <f>SUBTOTAL(109,LTBL_23562[個人／事業所数])</f>
        <v>93</v>
      </c>
      <c r="G20" s="12">
        <f>SUBTOTAL(109,LTBL_23562[法人／事業所数])</f>
        <v>29</v>
      </c>
      <c r="I20" s="12">
        <f>SUBTOTAL(109,LTBL_23562[法人以外の団体／事業所数])</f>
        <v>2</v>
      </c>
    </row>
    <row r="21" spans="2:9" ht="15" customHeight="1" x14ac:dyDescent="0.2">
      <c r="E21" s="11">
        <f>LTBL_23562[[#Totals],[個人／事業所数]]/LTBL_23562[[#Totals],[総数／事業所数]]</f>
        <v>0.73809523809523814</v>
      </c>
      <c r="G21" s="11">
        <f>LTBL_23562[[#Totals],[法人／事業所数]]/LTBL_23562[[#Totals],[総数／事業所数]]</f>
        <v>0.23015873015873015</v>
      </c>
      <c r="I21" s="11">
        <f>LTBL_23562[[#Totals],[法人以外の団体／事業所数]]/LTBL_23562[[#Totals],[総数／事業所数]]</f>
        <v>1.5873015873015872E-2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17</v>
      </c>
      <c r="D24" s="8">
        <v>13.49</v>
      </c>
      <c r="E24" s="12">
        <v>13</v>
      </c>
      <c r="F24" s="8">
        <v>13.98</v>
      </c>
      <c r="G24" s="12">
        <v>4</v>
      </c>
      <c r="H24" s="8">
        <v>13.79</v>
      </c>
      <c r="I24" s="12">
        <v>0</v>
      </c>
    </row>
    <row r="25" spans="2:9" ht="15" customHeight="1" x14ac:dyDescent="0.2">
      <c r="B25" t="s">
        <v>94</v>
      </c>
      <c r="C25" s="12">
        <v>16</v>
      </c>
      <c r="D25" s="8">
        <v>12.7</v>
      </c>
      <c r="E25" s="12">
        <v>10</v>
      </c>
      <c r="F25" s="8">
        <v>10.75</v>
      </c>
      <c r="G25" s="12">
        <v>6</v>
      </c>
      <c r="H25" s="8">
        <v>20.69</v>
      </c>
      <c r="I25" s="12">
        <v>0</v>
      </c>
    </row>
    <row r="26" spans="2:9" ht="15" customHeight="1" x14ac:dyDescent="0.2">
      <c r="B26" t="s">
        <v>103</v>
      </c>
      <c r="C26" s="12">
        <v>10</v>
      </c>
      <c r="D26" s="8">
        <v>7.94</v>
      </c>
      <c r="E26" s="12">
        <v>10</v>
      </c>
      <c r="F26" s="8">
        <v>10.75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105</v>
      </c>
      <c r="C27" s="12">
        <v>10</v>
      </c>
      <c r="D27" s="8">
        <v>7.94</v>
      </c>
      <c r="E27" s="12">
        <v>8</v>
      </c>
      <c r="F27" s="8">
        <v>8.6</v>
      </c>
      <c r="G27" s="12">
        <v>2</v>
      </c>
      <c r="H27" s="8">
        <v>6.9</v>
      </c>
      <c r="I27" s="12">
        <v>0</v>
      </c>
    </row>
    <row r="28" spans="2:9" ht="15" customHeight="1" x14ac:dyDescent="0.2">
      <c r="B28" t="s">
        <v>111</v>
      </c>
      <c r="C28" s="12">
        <v>8</v>
      </c>
      <c r="D28" s="8">
        <v>6.35</v>
      </c>
      <c r="E28" s="12">
        <v>8</v>
      </c>
      <c r="F28" s="8">
        <v>8.6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104</v>
      </c>
      <c r="C29" s="12">
        <v>7</v>
      </c>
      <c r="D29" s="8">
        <v>5.56</v>
      </c>
      <c r="E29" s="12">
        <v>6</v>
      </c>
      <c r="F29" s="8">
        <v>6.45</v>
      </c>
      <c r="G29" s="12">
        <v>1</v>
      </c>
      <c r="H29" s="8">
        <v>3.45</v>
      </c>
      <c r="I29" s="12">
        <v>0</v>
      </c>
    </row>
    <row r="30" spans="2:9" ht="15" customHeight="1" x14ac:dyDescent="0.2">
      <c r="B30" t="s">
        <v>95</v>
      </c>
      <c r="C30" s="12">
        <v>6</v>
      </c>
      <c r="D30" s="8">
        <v>4.76</v>
      </c>
      <c r="E30" s="12">
        <v>6</v>
      </c>
      <c r="F30" s="8">
        <v>6.45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96</v>
      </c>
      <c r="C31" s="12">
        <v>6</v>
      </c>
      <c r="D31" s="8">
        <v>4.76</v>
      </c>
      <c r="E31" s="12">
        <v>5</v>
      </c>
      <c r="F31" s="8">
        <v>5.38</v>
      </c>
      <c r="G31" s="12">
        <v>1</v>
      </c>
      <c r="H31" s="8">
        <v>3.45</v>
      </c>
      <c r="I31" s="12">
        <v>0</v>
      </c>
    </row>
    <row r="32" spans="2:9" ht="15" customHeight="1" x14ac:dyDescent="0.2">
      <c r="B32" t="s">
        <v>112</v>
      </c>
      <c r="C32" s="12">
        <v>5</v>
      </c>
      <c r="D32" s="8">
        <v>3.97</v>
      </c>
      <c r="E32" s="12">
        <v>4</v>
      </c>
      <c r="F32" s="8">
        <v>4.3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113</v>
      </c>
      <c r="C33" s="12">
        <v>5</v>
      </c>
      <c r="D33" s="8">
        <v>3.97</v>
      </c>
      <c r="E33" s="12">
        <v>5</v>
      </c>
      <c r="F33" s="8">
        <v>5.38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134</v>
      </c>
      <c r="C34" s="12">
        <v>4</v>
      </c>
      <c r="D34" s="8">
        <v>3.17</v>
      </c>
      <c r="E34" s="12">
        <v>1</v>
      </c>
      <c r="F34" s="8">
        <v>1.08</v>
      </c>
      <c r="G34" s="12">
        <v>2</v>
      </c>
      <c r="H34" s="8">
        <v>6.9</v>
      </c>
      <c r="I34" s="12">
        <v>1</v>
      </c>
    </row>
    <row r="35" spans="2:9" ht="15" customHeight="1" x14ac:dyDescent="0.2">
      <c r="B35" t="s">
        <v>102</v>
      </c>
      <c r="C35" s="12">
        <v>3</v>
      </c>
      <c r="D35" s="8">
        <v>2.38</v>
      </c>
      <c r="E35" s="12">
        <v>2</v>
      </c>
      <c r="F35" s="8">
        <v>2.15</v>
      </c>
      <c r="G35" s="12">
        <v>1</v>
      </c>
      <c r="H35" s="8">
        <v>3.45</v>
      </c>
      <c r="I35" s="12">
        <v>0</v>
      </c>
    </row>
    <row r="36" spans="2:9" ht="15" customHeight="1" x14ac:dyDescent="0.2">
      <c r="B36" t="s">
        <v>109</v>
      </c>
      <c r="C36" s="12">
        <v>3</v>
      </c>
      <c r="D36" s="8">
        <v>2.38</v>
      </c>
      <c r="E36" s="12">
        <v>2</v>
      </c>
      <c r="F36" s="8">
        <v>2.15</v>
      </c>
      <c r="G36" s="12">
        <v>1</v>
      </c>
      <c r="H36" s="8">
        <v>3.45</v>
      </c>
      <c r="I36" s="12">
        <v>0</v>
      </c>
    </row>
    <row r="37" spans="2:9" ht="15" customHeight="1" x14ac:dyDescent="0.2">
      <c r="B37" t="s">
        <v>128</v>
      </c>
      <c r="C37" s="12">
        <v>2</v>
      </c>
      <c r="D37" s="8">
        <v>1.59</v>
      </c>
      <c r="E37" s="12">
        <v>1</v>
      </c>
      <c r="F37" s="8">
        <v>1.08</v>
      </c>
      <c r="G37" s="12">
        <v>1</v>
      </c>
      <c r="H37" s="8">
        <v>3.45</v>
      </c>
      <c r="I37" s="12">
        <v>0</v>
      </c>
    </row>
    <row r="38" spans="2:9" ht="15" customHeight="1" x14ac:dyDescent="0.2">
      <c r="B38" t="s">
        <v>145</v>
      </c>
      <c r="C38" s="12">
        <v>2</v>
      </c>
      <c r="D38" s="8">
        <v>1.59</v>
      </c>
      <c r="E38" s="12">
        <v>1</v>
      </c>
      <c r="F38" s="8">
        <v>1.08</v>
      </c>
      <c r="G38" s="12">
        <v>1</v>
      </c>
      <c r="H38" s="8">
        <v>3.45</v>
      </c>
      <c r="I38" s="12">
        <v>0</v>
      </c>
    </row>
    <row r="39" spans="2:9" ht="15" customHeight="1" x14ac:dyDescent="0.2">
      <c r="B39" t="s">
        <v>133</v>
      </c>
      <c r="C39" s="12">
        <v>2</v>
      </c>
      <c r="D39" s="8">
        <v>1.59</v>
      </c>
      <c r="E39" s="12">
        <v>1</v>
      </c>
      <c r="F39" s="8">
        <v>1.08</v>
      </c>
      <c r="G39" s="12">
        <v>1</v>
      </c>
      <c r="H39" s="8">
        <v>3.45</v>
      </c>
      <c r="I39" s="12">
        <v>0</v>
      </c>
    </row>
    <row r="40" spans="2:9" ht="15" customHeight="1" x14ac:dyDescent="0.2">
      <c r="B40" t="s">
        <v>129</v>
      </c>
      <c r="C40" s="12">
        <v>2</v>
      </c>
      <c r="D40" s="8">
        <v>1.59</v>
      </c>
      <c r="E40" s="12">
        <v>2</v>
      </c>
      <c r="F40" s="8">
        <v>2.15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118</v>
      </c>
      <c r="C41" s="12">
        <v>2</v>
      </c>
      <c r="D41" s="8">
        <v>1.59</v>
      </c>
      <c r="E41" s="12">
        <v>1</v>
      </c>
      <c r="F41" s="8">
        <v>1.08</v>
      </c>
      <c r="G41" s="12">
        <v>1</v>
      </c>
      <c r="H41" s="8">
        <v>3.45</v>
      </c>
      <c r="I41" s="12">
        <v>0</v>
      </c>
    </row>
    <row r="42" spans="2:9" ht="15" customHeight="1" x14ac:dyDescent="0.2">
      <c r="B42" t="s">
        <v>138</v>
      </c>
      <c r="C42" s="12">
        <v>2</v>
      </c>
      <c r="D42" s="8">
        <v>1.59</v>
      </c>
      <c r="E42" s="12">
        <v>1</v>
      </c>
      <c r="F42" s="8">
        <v>1.08</v>
      </c>
      <c r="G42" s="12">
        <v>1</v>
      </c>
      <c r="H42" s="8">
        <v>3.45</v>
      </c>
      <c r="I42" s="12">
        <v>0</v>
      </c>
    </row>
    <row r="43" spans="2:9" ht="15" customHeight="1" x14ac:dyDescent="0.2">
      <c r="B43" t="s">
        <v>137</v>
      </c>
      <c r="C43" s="12">
        <v>1</v>
      </c>
      <c r="D43" s="8">
        <v>0.79</v>
      </c>
      <c r="E43" s="12">
        <v>1</v>
      </c>
      <c r="F43" s="8">
        <v>1.08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146</v>
      </c>
      <c r="C44" s="12">
        <v>1</v>
      </c>
      <c r="D44" s="8">
        <v>0.79</v>
      </c>
      <c r="E44" s="12">
        <v>0</v>
      </c>
      <c r="F44" s="8">
        <v>0</v>
      </c>
      <c r="G44" s="12">
        <v>1</v>
      </c>
      <c r="H44" s="8">
        <v>3.45</v>
      </c>
      <c r="I44" s="12">
        <v>0</v>
      </c>
    </row>
    <row r="45" spans="2:9" ht="15" customHeight="1" x14ac:dyDescent="0.2">
      <c r="B45" t="s">
        <v>147</v>
      </c>
      <c r="C45" s="12">
        <v>1</v>
      </c>
      <c r="D45" s="8">
        <v>0.79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132</v>
      </c>
      <c r="C46" s="12">
        <v>1</v>
      </c>
      <c r="D46" s="8">
        <v>0.79</v>
      </c>
      <c r="E46" s="12">
        <v>0</v>
      </c>
      <c r="F46" s="8">
        <v>0</v>
      </c>
      <c r="G46" s="12">
        <v>1</v>
      </c>
      <c r="H46" s="8">
        <v>3.45</v>
      </c>
      <c r="I46" s="12">
        <v>0</v>
      </c>
    </row>
    <row r="47" spans="2:9" ht="15" customHeight="1" x14ac:dyDescent="0.2">
      <c r="B47" t="s">
        <v>123</v>
      </c>
      <c r="C47" s="12">
        <v>1</v>
      </c>
      <c r="D47" s="8">
        <v>0.79</v>
      </c>
      <c r="E47" s="12">
        <v>0</v>
      </c>
      <c r="F47" s="8">
        <v>0</v>
      </c>
      <c r="G47" s="12">
        <v>0</v>
      </c>
      <c r="H47" s="8">
        <v>0</v>
      </c>
      <c r="I47" s="12">
        <v>1</v>
      </c>
    </row>
    <row r="48" spans="2:9" ht="15" customHeight="1" x14ac:dyDescent="0.2">
      <c r="B48" t="s">
        <v>100</v>
      </c>
      <c r="C48" s="12">
        <v>1</v>
      </c>
      <c r="D48" s="8">
        <v>0.79</v>
      </c>
      <c r="E48" s="12">
        <v>1</v>
      </c>
      <c r="F48" s="8">
        <v>1.08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101</v>
      </c>
      <c r="C49" s="12">
        <v>1</v>
      </c>
      <c r="D49" s="8">
        <v>0.79</v>
      </c>
      <c r="E49" s="12">
        <v>0</v>
      </c>
      <c r="F49" s="8">
        <v>0</v>
      </c>
      <c r="G49" s="12">
        <v>1</v>
      </c>
      <c r="H49" s="8">
        <v>3.45</v>
      </c>
      <c r="I49" s="12">
        <v>0</v>
      </c>
    </row>
    <row r="50" spans="2:9" ht="15" customHeight="1" x14ac:dyDescent="0.2">
      <c r="B50" t="s">
        <v>106</v>
      </c>
      <c r="C50" s="12">
        <v>1</v>
      </c>
      <c r="D50" s="8">
        <v>0.79</v>
      </c>
      <c r="E50" s="12">
        <v>1</v>
      </c>
      <c r="F50" s="8">
        <v>1.08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107</v>
      </c>
      <c r="C51" s="12">
        <v>1</v>
      </c>
      <c r="D51" s="8">
        <v>0.79</v>
      </c>
      <c r="E51" s="12">
        <v>0</v>
      </c>
      <c r="F51" s="8">
        <v>0</v>
      </c>
      <c r="G51" s="12">
        <v>1</v>
      </c>
      <c r="H51" s="8">
        <v>3.45</v>
      </c>
      <c r="I51" s="12">
        <v>0</v>
      </c>
    </row>
    <row r="52" spans="2:9" ht="15" customHeight="1" x14ac:dyDescent="0.2">
      <c r="B52" t="s">
        <v>148</v>
      </c>
      <c r="C52" s="12">
        <v>1</v>
      </c>
      <c r="D52" s="8">
        <v>0.79</v>
      </c>
      <c r="E52" s="12">
        <v>0</v>
      </c>
      <c r="F52" s="8">
        <v>0</v>
      </c>
      <c r="G52" s="12">
        <v>1</v>
      </c>
      <c r="H52" s="8">
        <v>3.45</v>
      </c>
      <c r="I52" s="12">
        <v>0</v>
      </c>
    </row>
    <row r="53" spans="2:9" ht="15" customHeight="1" x14ac:dyDescent="0.2">
      <c r="B53" t="s">
        <v>108</v>
      </c>
      <c r="C53" s="12">
        <v>1</v>
      </c>
      <c r="D53" s="8">
        <v>0.79</v>
      </c>
      <c r="E53" s="12">
        <v>1</v>
      </c>
      <c r="F53" s="8">
        <v>1.08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116</v>
      </c>
      <c r="C54" s="12">
        <v>1</v>
      </c>
      <c r="D54" s="8">
        <v>0.79</v>
      </c>
      <c r="E54" s="12">
        <v>1</v>
      </c>
      <c r="F54" s="8">
        <v>1.08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149</v>
      </c>
      <c r="C55" s="12">
        <v>1</v>
      </c>
      <c r="D55" s="8">
        <v>0.79</v>
      </c>
      <c r="E55" s="12">
        <v>0</v>
      </c>
      <c r="F55" s="8">
        <v>0</v>
      </c>
      <c r="G55" s="12">
        <v>1</v>
      </c>
      <c r="H55" s="8">
        <v>3.45</v>
      </c>
      <c r="I55" s="12">
        <v>0</v>
      </c>
    </row>
    <row r="56" spans="2:9" ht="15" customHeight="1" x14ac:dyDescent="0.2">
      <c r="B56" t="s">
        <v>114</v>
      </c>
      <c r="C56" s="12">
        <v>1</v>
      </c>
      <c r="D56" s="8">
        <v>0.79</v>
      </c>
      <c r="E56" s="12">
        <v>1</v>
      </c>
      <c r="F56" s="8">
        <v>1.08</v>
      </c>
      <c r="G56" s="12">
        <v>0</v>
      </c>
      <c r="H56" s="8">
        <v>0</v>
      </c>
      <c r="I56" s="12">
        <v>0</v>
      </c>
    </row>
    <row r="59" spans="2:9" ht="33" customHeight="1" x14ac:dyDescent="0.2">
      <c r="B59" t="s">
        <v>279</v>
      </c>
      <c r="C59" s="10" t="s">
        <v>87</v>
      </c>
      <c r="D59" s="10" t="s">
        <v>88</v>
      </c>
      <c r="E59" s="10" t="s">
        <v>89</v>
      </c>
      <c r="F59" s="10" t="s">
        <v>90</v>
      </c>
      <c r="G59" s="10" t="s">
        <v>91</v>
      </c>
      <c r="H59" s="10" t="s">
        <v>92</v>
      </c>
      <c r="I59" s="10" t="s">
        <v>93</v>
      </c>
    </row>
    <row r="60" spans="2:9" ht="15" customHeight="1" x14ac:dyDescent="0.2">
      <c r="B60" t="s">
        <v>205</v>
      </c>
      <c r="C60" s="12">
        <v>8</v>
      </c>
      <c r="D60" s="8">
        <v>6.35</v>
      </c>
      <c r="E60" s="12">
        <v>6</v>
      </c>
      <c r="F60" s="8">
        <v>6.45</v>
      </c>
      <c r="G60" s="12">
        <v>2</v>
      </c>
      <c r="H60" s="8">
        <v>6.9</v>
      </c>
      <c r="I60" s="12">
        <v>0</v>
      </c>
    </row>
    <row r="61" spans="2:9" ht="15" customHeight="1" x14ac:dyDescent="0.2">
      <c r="B61" t="s">
        <v>152</v>
      </c>
      <c r="C61" s="12">
        <v>5</v>
      </c>
      <c r="D61" s="8">
        <v>3.97</v>
      </c>
      <c r="E61" s="12">
        <v>1</v>
      </c>
      <c r="F61" s="8">
        <v>1.08</v>
      </c>
      <c r="G61" s="12">
        <v>4</v>
      </c>
      <c r="H61" s="8">
        <v>13.79</v>
      </c>
      <c r="I61" s="12">
        <v>0</v>
      </c>
    </row>
    <row r="62" spans="2:9" ht="15" customHeight="1" x14ac:dyDescent="0.2">
      <c r="B62" t="s">
        <v>156</v>
      </c>
      <c r="C62" s="12">
        <v>5</v>
      </c>
      <c r="D62" s="8">
        <v>3.97</v>
      </c>
      <c r="E62" s="12">
        <v>4</v>
      </c>
      <c r="F62" s="8">
        <v>4.3</v>
      </c>
      <c r="G62" s="12">
        <v>1</v>
      </c>
      <c r="H62" s="8">
        <v>3.45</v>
      </c>
      <c r="I62" s="12">
        <v>0</v>
      </c>
    </row>
    <row r="63" spans="2:9" ht="15" customHeight="1" x14ac:dyDescent="0.2">
      <c r="B63" t="s">
        <v>222</v>
      </c>
      <c r="C63" s="12">
        <v>5</v>
      </c>
      <c r="D63" s="8">
        <v>3.97</v>
      </c>
      <c r="E63" s="12">
        <v>3</v>
      </c>
      <c r="F63" s="8">
        <v>3.23</v>
      </c>
      <c r="G63" s="12">
        <v>2</v>
      </c>
      <c r="H63" s="8">
        <v>6.9</v>
      </c>
      <c r="I63" s="12">
        <v>0</v>
      </c>
    </row>
    <row r="64" spans="2:9" ht="15" customHeight="1" x14ac:dyDescent="0.2">
      <c r="B64" t="s">
        <v>154</v>
      </c>
      <c r="C64" s="12">
        <v>4</v>
      </c>
      <c r="D64" s="8">
        <v>3.17</v>
      </c>
      <c r="E64" s="12">
        <v>3</v>
      </c>
      <c r="F64" s="8">
        <v>3.23</v>
      </c>
      <c r="G64" s="12">
        <v>1</v>
      </c>
      <c r="H64" s="8">
        <v>3.45</v>
      </c>
      <c r="I64" s="12">
        <v>0</v>
      </c>
    </row>
    <row r="65" spans="2:9" ht="15" customHeight="1" x14ac:dyDescent="0.2">
      <c r="B65" t="s">
        <v>210</v>
      </c>
      <c r="C65" s="12">
        <v>4</v>
      </c>
      <c r="D65" s="8">
        <v>3.17</v>
      </c>
      <c r="E65" s="12">
        <v>4</v>
      </c>
      <c r="F65" s="8">
        <v>4.3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186</v>
      </c>
      <c r="C66" s="12">
        <v>4</v>
      </c>
      <c r="D66" s="8">
        <v>3.17</v>
      </c>
      <c r="E66" s="12">
        <v>4</v>
      </c>
      <c r="F66" s="8">
        <v>4.3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163</v>
      </c>
      <c r="C67" s="12">
        <v>4</v>
      </c>
      <c r="D67" s="8">
        <v>3.17</v>
      </c>
      <c r="E67" s="12">
        <v>3</v>
      </c>
      <c r="F67" s="8">
        <v>3.23</v>
      </c>
      <c r="G67" s="12">
        <v>1</v>
      </c>
      <c r="H67" s="8">
        <v>3.45</v>
      </c>
      <c r="I67" s="12">
        <v>0</v>
      </c>
    </row>
    <row r="68" spans="2:9" ht="15" customHeight="1" x14ac:dyDescent="0.2">
      <c r="B68" t="s">
        <v>165</v>
      </c>
      <c r="C68" s="12">
        <v>4</v>
      </c>
      <c r="D68" s="8">
        <v>3.17</v>
      </c>
      <c r="E68" s="12">
        <v>3</v>
      </c>
      <c r="F68" s="8">
        <v>3.23</v>
      </c>
      <c r="G68" s="12">
        <v>1</v>
      </c>
      <c r="H68" s="8">
        <v>3.45</v>
      </c>
      <c r="I68" s="12">
        <v>0</v>
      </c>
    </row>
    <row r="69" spans="2:9" ht="15" customHeight="1" x14ac:dyDescent="0.2">
      <c r="B69" t="s">
        <v>168</v>
      </c>
      <c r="C69" s="12">
        <v>4</v>
      </c>
      <c r="D69" s="8">
        <v>3.17</v>
      </c>
      <c r="E69" s="12">
        <v>4</v>
      </c>
      <c r="F69" s="8">
        <v>4.3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203</v>
      </c>
      <c r="C70" s="12">
        <v>3</v>
      </c>
      <c r="D70" s="8">
        <v>2.38</v>
      </c>
      <c r="E70" s="12">
        <v>3</v>
      </c>
      <c r="F70" s="8">
        <v>3.23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217</v>
      </c>
      <c r="C71" s="12">
        <v>3</v>
      </c>
      <c r="D71" s="8">
        <v>2.38</v>
      </c>
      <c r="E71" s="12">
        <v>3</v>
      </c>
      <c r="F71" s="8">
        <v>3.23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191</v>
      </c>
      <c r="C72" s="12">
        <v>3</v>
      </c>
      <c r="D72" s="8">
        <v>2.38</v>
      </c>
      <c r="E72" s="12">
        <v>2</v>
      </c>
      <c r="F72" s="8">
        <v>2.15</v>
      </c>
      <c r="G72" s="12">
        <v>1</v>
      </c>
      <c r="H72" s="8">
        <v>3.45</v>
      </c>
      <c r="I72" s="12">
        <v>0</v>
      </c>
    </row>
    <row r="73" spans="2:9" ht="15" customHeight="1" x14ac:dyDescent="0.2">
      <c r="B73" t="s">
        <v>167</v>
      </c>
      <c r="C73" s="12">
        <v>3</v>
      </c>
      <c r="D73" s="8">
        <v>2.38</v>
      </c>
      <c r="E73" s="12">
        <v>3</v>
      </c>
      <c r="F73" s="8">
        <v>3.23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170</v>
      </c>
      <c r="C74" s="12">
        <v>3</v>
      </c>
      <c r="D74" s="8">
        <v>2.38</v>
      </c>
      <c r="E74" s="12">
        <v>3</v>
      </c>
      <c r="F74" s="8">
        <v>3.23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171</v>
      </c>
      <c r="C75" s="12">
        <v>3</v>
      </c>
      <c r="D75" s="8">
        <v>2.38</v>
      </c>
      <c r="E75" s="12">
        <v>3</v>
      </c>
      <c r="F75" s="8">
        <v>3.23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155</v>
      </c>
      <c r="C76" s="12">
        <v>2</v>
      </c>
      <c r="D76" s="8">
        <v>1.59</v>
      </c>
      <c r="E76" s="12">
        <v>2</v>
      </c>
      <c r="F76" s="8">
        <v>2.15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253</v>
      </c>
      <c r="C77" s="12">
        <v>2</v>
      </c>
      <c r="D77" s="8">
        <v>1.59</v>
      </c>
      <c r="E77" s="12">
        <v>1</v>
      </c>
      <c r="F77" s="8">
        <v>1.08</v>
      </c>
      <c r="G77" s="12">
        <v>1</v>
      </c>
      <c r="H77" s="8">
        <v>3.45</v>
      </c>
      <c r="I77" s="12">
        <v>0</v>
      </c>
    </row>
    <row r="78" spans="2:9" ht="15" customHeight="1" x14ac:dyDescent="0.2">
      <c r="B78" t="s">
        <v>194</v>
      </c>
      <c r="C78" s="12">
        <v>2</v>
      </c>
      <c r="D78" s="8">
        <v>1.59</v>
      </c>
      <c r="E78" s="12">
        <v>1</v>
      </c>
      <c r="F78" s="8">
        <v>1.08</v>
      </c>
      <c r="G78" s="12">
        <v>1</v>
      </c>
      <c r="H78" s="8">
        <v>3.45</v>
      </c>
      <c r="I78" s="12">
        <v>0</v>
      </c>
    </row>
    <row r="79" spans="2:9" ht="15" customHeight="1" x14ac:dyDescent="0.2">
      <c r="B79" t="s">
        <v>198</v>
      </c>
      <c r="C79" s="12">
        <v>2</v>
      </c>
      <c r="D79" s="8">
        <v>1.59</v>
      </c>
      <c r="E79" s="12">
        <v>2</v>
      </c>
      <c r="F79" s="8">
        <v>2.15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218</v>
      </c>
      <c r="C80" s="12">
        <v>2</v>
      </c>
      <c r="D80" s="8">
        <v>1.59</v>
      </c>
      <c r="E80" s="12">
        <v>1</v>
      </c>
      <c r="F80" s="8">
        <v>1.08</v>
      </c>
      <c r="G80" s="12">
        <v>1</v>
      </c>
      <c r="H80" s="8">
        <v>3.45</v>
      </c>
      <c r="I80" s="12">
        <v>0</v>
      </c>
    </row>
    <row r="81" spans="2:9" ht="15" customHeight="1" x14ac:dyDescent="0.2">
      <c r="B81" t="s">
        <v>264</v>
      </c>
      <c r="C81" s="12">
        <v>2</v>
      </c>
      <c r="D81" s="8">
        <v>1.59</v>
      </c>
      <c r="E81" s="12">
        <v>2</v>
      </c>
      <c r="F81" s="8">
        <v>2.15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158</v>
      </c>
      <c r="C82" s="12">
        <v>2</v>
      </c>
      <c r="D82" s="8">
        <v>1.59</v>
      </c>
      <c r="E82" s="12">
        <v>2</v>
      </c>
      <c r="F82" s="8">
        <v>2.15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261</v>
      </c>
      <c r="C83" s="12">
        <v>2</v>
      </c>
      <c r="D83" s="8">
        <v>1.59</v>
      </c>
      <c r="E83" s="12">
        <v>1</v>
      </c>
      <c r="F83" s="8">
        <v>1.08</v>
      </c>
      <c r="G83" s="12">
        <v>1</v>
      </c>
      <c r="H83" s="8">
        <v>3.45</v>
      </c>
      <c r="I83" s="12">
        <v>0</v>
      </c>
    </row>
    <row r="84" spans="2:9" ht="15" customHeight="1" x14ac:dyDescent="0.2">
      <c r="B84" t="s">
        <v>164</v>
      </c>
      <c r="C84" s="12">
        <v>2</v>
      </c>
      <c r="D84" s="8">
        <v>1.59</v>
      </c>
      <c r="E84" s="12">
        <v>2</v>
      </c>
      <c r="F84" s="8">
        <v>2.15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250</v>
      </c>
      <c r="C85" s="12">
        <v>2</v>
      </c>
      <c r="D85" s="8">
        <v>1.59</v>
      </c>
      <c r="E85" s="12">
        <v>1</v>
      </c>
      <c r="F85" s="8">
        <v>1.08</v>
      </c>
      <c r="G85" s="12">
        <v>1</v>
      </c>
      <c r="H85" s="8">
        <v>3.45</v>
      </c>
      <c r="I85" s="12">
        <v>0</v>
      </c>
    </row>
    <row r="87" spans="2:9" ht="15" customHeight="1" x14ac:dyDescent="0.2">
      <c r="B87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7527-B7AB-4CCD-BC87-F4B9DB9FB8A5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350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5</v>
      </c>
      <c r="D6" s="8">
        <v>11.63</v>
      </c>
      <c r="E6" s="12">
        <v>3</v>
      </c>
      <c r="F6" s="8">
        <v>10.71</v>
      </c>
      <c r="G6" s="12">
        <v>2</v>
      </c>
      <c r="H6" s="8">
        <v>18.18</v>
      </c>
      <c r="I6" s="12">
        <v>0</v>
      </c>
    </row>
    <row r="7" spans="2:9" ht="15" customHeight="1" x14ac:dyDescent="0.2">
      <c r="B7" t="s">
        <v>73</v>
      </c>
      <c r="C7" s="12">
        <v>8</v>
      </c>
      <c r="D7" s="8">
        <v>18.600000000000001</v>
      </c>
      <c r="E7" s="12">
        <v>2</v>
      </c>
      <c r="F7" s="8">
        <v>7.14</v>
      </c>
      <c r="G7" s="12">
        <v>5</v>
      </c>
      <c r="H7" s="8">
        <v>45.45</v>
      </c>
      <c r="I7" s="12">
        <v>1</v>
      </c>
    </row>
    <row r="8" spans="2:9" ht="15" customHeight="1" x14ac:dyDescent="0.2">
      <c r="B8" t="s">
        <v>74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75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76</v>
      </c>
      <c r="C10" s="12">
        <v>1</v>
      </c>
      <c r="D10" s="8">
        <v>2.33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77</v>
      </c>
      <c r="C11" s="12">
        <v>14</v>
      </c>
      <c r="D11" s="8">
        <v>32.56</v>
      </c>
      <c r="E11" s="12">
        <v>13</v>
      </c>
      <c r="F11" s="8">
        <v>46.43</v>
      </c>
      <c r="G11" s="12">
        <v>1</v>
      </c>
      <c r="H11" s="8">
        <v>9.09</v>
      </c>
      <c r="I11" s="12">
        <v>0</v>
      </c>
    </row>
    <row r="12" spans="2:9" ht="15" customHeight="1" x14ac:dyDescent="0.2">
      <c r="B12" t="s">
        <v>78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79</v>
      </c>
      <c r="C13" s="12">
        <v>2</v>
      </c>
      <c r="D13" s="8">
        <v>4.6500000000000004</v>
      </c>
      <c r="E13" s="12">
        <v>2</v>
      </c>
      <c r="F13" s="8">
        <v>7.14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80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81</v>
      </c>
      <c r="C15" s="12">
        <v>7</v>
      </c>
      <c r="D15" s="8">
        <v>16.28</v>
      </c>
      <c r="E15" s="12">
        <v>5</v>
      </c>
      <c r="F15" s="8">
        <v>17.86</v>
      </c>
      <c r="G15" s="12">
        <v>1</v>
      </c>
      <c r="H15" s="8">
        <v>9.09</v>
      </c>
      <c r="I15" s="12">
        <v>0</v>
      </c>
    </row>
    <row r="16" spans="2:9" ht="15" customHeight="1" x14ac:dyDescent="0.2">
      <c r="B16" t="s">
        <v>82</v>
      </c>
      <c r="C16" s="12">
        <v>3</v>
      </c>
      <c r="D16" s="8">
        <v>6.98</v>
      </c>
      <c r="E16" s="12">
        <v>2</v>
      </c>
      <c r="F16" s="8">
        <v>7.14</v>
      </c>
      <c r="G16" s="12">
        <v>1</v>
      </c>
      <c r="H16" s="8">
        <v>9.09</v>
      </c>
      <c r="I16" s="12">
        <v>0</v>
      </c>
    </row>
    <row r="17" spans="2:9" ht="15" customHeight="1" x14ac:dyDescent="0.2">
      <c r="B17" t="s">
        <v>83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84</v>
      </c>
      <c r="C18" s="12">
        <v>1</v>
      </c>
      <c r="D18" s="8">
        <v>2.33</v>
      </c>
      <c r="E18" s="12">
        <v>1</v>
      </c>
      <c r="F18" s="8">
        <v>3.57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85</v>
      </c>
      <c r="C19" s="12">
        <v>2</v>
      </c>
      <c r="D19" s="8">
        <v>4.6500000000000004</v>
      </c>
      <c r="E19" s="12">
        <v>0</v>
      </c>
      <c r="F19" s="8">
        <v>0</v>
      </c>
      <c r="G19" s="12">
        <v>1</v>
      </c>
      <c r="H19" s="8">
        <v>9.09</v>
      </c>
      <c r="I19" s="12">
        <v>1</v>
      </c>
    </row>
    <row r="20" spans="2:9" ht="15" customHeight="1" x14ac:dyDescent="0.2">
      <c r="B20" s="9" t="s">
        <v>277</v>
      </c>
      <c r="C20" s="12">
        <f>SUM(LTBL_23563[総数／事業所数])</f>
        <v>43</v>
      </c>
      <c r="E20" s="12">
        <f>SUBTOTAL(109,LTBL_23563[個人／事業所数])</f>
        <v>28</v>
      </c>
      <c r="G20" s="12">
        <f>SUBTOTAL(109,LTBL_23563[法人／事業所数])</f>
        <v>11</v>
      </c>
      <c r="I20" s="12">
        <f>SUBTOTAL(109,LTBL_23563[法人以外の団体／事業所数])</f>
        <v>3</v>
      </c>
    </row>
    <row r="21" spans="2:9" ht="15" customHeight="1" x14ac:dyDescent="0.2">
      <c r="E21" s="11">
        <f>LTBL_23563[[#Totals],[個人／事業所数]]/LTBL_23563[[#Totals],[総数／事業所数]]</f>
        <v>0.65116279069767447</v>
      </c>
      <c r="G21" s="11">
        <f>LTBL_23563[[#Totals],[法人／事業所数]]/LTBL_23563[[#Totals],[総数／事業所数]]</f>
        <v>0.2558139534883721</v>
      </c>
      <c r="I21" s="11">
        <f>LTBL_23563[[#Totals],[法人以外の団体／事業所数]]/LTBL_23563[[#Totals],[総数／事業所数]]</f>
        <v>6.9767441860465115E-2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103</v>
      </c>
      <c r="C24" s="12">
        <v>8</v>
      </c>
      <c r="D24" s="8">
        <v>18.600000000000001</v>
      </c>
      <c r="E24" s="12">
        <v>8</v>
      </c>
      <c r="F24" s="8">
        <v>28.57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94</v>
      </c>
      <c r="C25" s="12">
        <v>5</v>
      </c>
      <c r="D25" s="8">
        <v>11.63</v>
      </c>
      <c r="E25" s="12">
        <v>3</v>
      </c>
      <c r="F25" s="8">
        <v>10.71</v>
      </c>
      <c r="G25" s="12">
        <v>2</v>
      </c>
      <c r="H25" s="8">
        <v>18.18</v>
      </c>
      <c r="I25" s="12">
        <v>0</v>
      </c>
    </row>
    <row r="26" spans="2:9" ht="15" customHeight="1" x14ac:dyDescent="0.2">
      <c r="B26" t="s">
        <v>105</v>
      </c>
      <c r="C26" s="12">
        <v>3</v>
      </c>
      <c r="D26" s="8">
        <v>6.98</v>
      </c>
      <c r="E26" s="12">
        <v>3</v>
      </c>
      <c r="F26" s="8">
        <v>10.71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134</v>
      </c>
      <c r="C27" s="12">
        <v>3</v>
      </c>
      <c r="D27" s="8">
        <v>6.98</v>
      </c>
      <c r="E27" s="12">
        <v>2</v>
      </c>
      <c r="F27" s="8">
        <v>7.14</v>
      </c>
      <c r="G27" s="12">
        <v>1</v>
      </c>
      <c r="H27" s="8">
        <v>9.09</v>
      </c>
      <c r="I27" s="12">
        <v>0</v>
      </c>
    </row>
    <row r="28" spans="2:9" ht="15" customHeight="1" x14ac:dyDescent="0.2">
      <c r="B28" t="s">
        <v>110</v>
      </c>
      <c r="C28" s="12">
        <v>3</v>
      </c>
      <c r="D28" s="8">
        <v>6.98</v>
      </c>
      <c r="E28" s="12">
        <v>3</v>
      </c>
      <c r="F28" s="8">
        <v>10.71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128</v>
      </c>
      <c r="C29" s="12">
        <v>2</v>
      </c>
      <c r="D29" s="8">
        <v>4.6500000000000004</v>
      </c>
      <c r="E29" s="12">
        <v>0</v>
      </c>
      <c r="F29" s="8">
        <v>0</v>
      </c>
      <c r="G29" s="12">
        <v>2</v>
      </c>
      <c r="H29" s="8">
        <v>18.18</v>
      </c>
      <c r="I29" s="12">
        <v>0</v>
      </c>
    </row>
    <row r="30" spans="2:9" ht="15" customHeight="1" x14ac:dyDescent="0.2">
      <c r="B30" t="s">
        <v>126</v>
      </c>
      <c r="C30" s="12">
        <v>2</v>
      </c>
      <c r="D30" s="8">
        <v>4.6500000000000004</v>
      </c>
      <c r="E30" s="12">
        <v>0</v>
      </c>
      <c r="F30" s="8">
        <v>0</v>
      </c>
      <c r="G30" s="12">
        <v>2</v>
      </c>
      <c r="H30" s="8">
        <v>18.18</v>
      </c>
      <c r="I30" s="12">
        <v>0</v>
      </c>
    </row>
    <row r="31" spans="2:9" ht="15" customHeight="1" x14ac:dyDescent="0.2">
      <c r="B31" t="s">
        <v>107</v>
      </c>
      <c r="C31" s="12">
        <v>2</v>
      </c>
      <c r="D31" s="8">
        <v>4.6500000000000004</v>
      </c>
      <c r="E31" s="12">
        <v>2</v>
      </c>
      <c r="F31" s="8">
        <v>7.14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111</v>
      </c>
      <c r="C32" s="12">
        <v>2</v>
      </c>
      <c r="D32" s="8">
        <v>4.6500000000000004</v>
      </c>
      <c r="E32" s="12">
        <v>2</v>
      </c>
      <c r="F32" s="8">
        <v>7.14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149</v>
      </c>
      <c r="C33" s="12">
        <v>2</v>
      </c>
      <c r="D33" s="8">
        <v>4.6500000000000004</v>
      </c>
      <c r="E33" s="12">
        <v>0</v>
      </c>
      <c r="F33" s="8">
        <v>0</v>
      </c>
      <c r="G33" s="12">
        <v>1</v>
      </c>
      <c r="H33" s="8">
        <v>9.09</v>
      </c>
      <c r="I33" s="12">
        <v>1</v>
      </c>
    </row>
    <row r="34" spans="2:9" ht="15" customHeight="1" x14ac:dyDescent="0.2">
      <c r="B34" t="s">
        <v>145</v>
      </c>
      <c r="C34" s="12">
        <v>1</v>
      </c>
      <c r="D34" s="8">
        <v>2.33</v>
      </c>
      <c r="E34" s="12">
        <v>0</v>
      </c>
      <c r="F34" s="8">
        <v>0</v>
      </c>
      <c r="G34" s="12">
        <v>1</v>
      </c>
      <c r="H34" s="8">
        <v>9.09</v>
      </c>
      <c r="I34" s="12">
        <v>0</v>
      </c>
    </row>
    <row r="35" spans="2:9" ht="15" customHeight="1" x14ac:dyDescent="0.2">
      <c r="B35" t="s">
        <v>133</v>
      </c>
      <c r="C35" s="12">
        <v>1</v>
      </c>
      <c r="D35" s="8">
        <v>2.33</v>
      </c>
      <c r="E35" s="12">
        <v>0</v>
      </c>
      <c r="F35" s="8">
        <v>0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124</v>
      </c>
      <c r="C36" s="12">
        <v>1</v>
      </c>
      <c r="D36" s="8">
        <v>2.33</v>
      </c>
      <c r="E36" s="12">
        <v>1</v>
      </c>
      <c r="F36" s="8">
        <v>3.57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129</v>
      </c>
      <c r="C37" s="12">
        <v>1</v>
      </c>
      <c r="D37" s="8">
        <v>2.33</v>
      </c>
      <c r="E37" s="12">
        <v>1</v>
      </c>
      <c r="F37" s="8">
        <v>3.57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123</v>
      </c>
      <c r="C38" s="12">
        <v>1</v>
      </c>
      <c r="D38" s="8">
        <v>2.33</v>
      </c>
      <c r="E38" s="12">
        <v>0</v>
      </c>
      <c r="F38" s="8">
        <v>0</v>
      </c>
      <c r="G38" s="12">
        <v>0</v>
      </c>
      <c r="H38" s="8">
        <v>0</v>
      </c>
      <c r="I38" s="12">
        <v>1</v>
      </c>
    </row>
    <row r="39" spans="2:9" ht="15" customHeight="1" x14ac:dyDescent="0.2">
      <c r="B39" t="s">
        <v>102</v>
      </c>
      <c r="C39" s="12">
        <v>1</v>
      </c>
      <c r="D39" s="8">
        <v>2.33</v>
      </c>
      <c r="E39" s="12">
        <v>1</v>
      </c>
      <c r="F39" s="8">
        <v>3.57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104</v>
      </c>
      <c r="C40" s="12">
        <v>1</v>
      </c>
      <c r="D40" s="8">
        <v>2.33</v>
      </c>
      <c r="E40" s="12">
        <v>1</v>
      </c>
      <c r="F40" s="8">
        <v>3.57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142</v>
      </c>
      <c r="C41" s="12">
        <v>1</v>
      </c>
      <c r="D41" s="8">
        <v>2.33</v>
      </c>
      <c r="E41" s="12">
        <v>0</v>
      </c>
      <c r="F41" s="8">
        <v>0</v>
      </c>
      <c r="G41" s="12">
        <v>1</v>
      </c>
      <c r="H41" s="8">
        <v>9.09</v>
      </c>
      <c r="I41" s="12">
        <v>0</v>
      </c>
    </row>
    <row r="42" spans="2:9" ht="15" customHeight="1" x14ac:dyDescent="0.2">
      <c r="B42" t="s">
        <v>135</v>
      </c>
      <c r="C42" s="12">
        <v>1</v>
      </c>
      <c r="D42" s="8">
        <v>2.33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138</v>
      </c>
      <c r="C43" s="12">
        <v>1</v>
      </c>
      <c r="D43" s="8">
        <v>2.33</v>
      </c>
      <c r="E43" s="12">
        <v>0</v>
      </c>
      <c r="F43" s="8">
        <v>0</v>
      </c>
      <c r="G43" s="12">
        <v>1</v>
      </c>
      <c r="H43" s="8">
        <v>9.09</v>
      </c>
      <c r="I43" s="12">
        <v>0</v>
      </c>
    </row>
    <row r="44" spans="2:9" ht="15" customHeight="1" x14ac:dyDescent="0.2">
      <c r="B44" t="s">
        <v>113</v>
      </c>
      <c r="C44" s="12">
        <v>1</v>
      </c>
      <c r="D44" s="8">
        <v>2.33</v>
      </c>
      <c r="E44" s="12">
        <v>1</v>
      </c>
      <c r="F44" s="8">
        <v>3.57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279</v>
      </c>
      <c r="C47" s="10" t="s">
        <v>87</v>
      </c>
      <c r="D47" s="10" t="s">
        <v>88</v>
      </c>
      <c r="E47" s="10" t="s">
        <v>89</v>
      </c>
      <c r="F47" s="10" t="s">
        <v>90</v>
      </c>
      <c r="G47" s="10" t="s">
        <v>91</v>
      </c>
      <c r="H47" s="10" t="s">
        <v>92</v>
      </c>
      <c r="I47" s="10" t="s">
        <v>93</v>
      </c>
    </row>
    <row r="48" spans="2:9" ht="15" customHeight="1" x14ac:dyDescent="0.2">
      <c r="B48" t="s">
        <v>152</v>
      </c>
      <c r="C48" s="12">
        <v>4</v>
      </c>
      <c r="D48" s="8">
        <v>9.3000000000000007</v>
      </c>
      <c r="E48" s="12">
        <v>2</v>
      </c>
      <c r="F48" s="8">
        <v>7.14</v>
      </c>
      <c r="G48" s="12">
        <v>2</v>
      </c>
      <c r="H48" s="8">
        <v>18.18</v>
      </c>
      <c r="I48" s="12">
        <v>0</v>
      </c>
    </row>
    <row r="49" spans="2:9" ht="15" customHeight="1" x14ac:dyDescent="0.2">
      <c r="B49" t="s">
        <v>258</v>
      </c>
      <c r="C49" s="12">
        <v>4</v>
      </c>
      <c r="D49" s="8">
        <v>9.3000000000000007</v>
      </c>
      <c r="E49" s="12">
        <v>4</v>
      </c>
      <c r="F49" s="8">
        <v>14.29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249</v>
      </c>
      <c r="C50" s="12">
        <v>3</v>
      </c>
      <c r="D50" s="8">
        <v>6.98</v>
      </c>
      <c r="E50" s="12">
        <v>2</v>
      </c>
      <c r="F50" s="8">
        <v>7.14</v>
      </c>
      <c r="G50" s="12">
        <v>1</v>
      </c>
      <c r="H50" s="8">
        <v>9.09</v>
      </c>
      <c r="I50" s="12">
        <v>0</v>
      </c>
    </row>
    <row r="51" spans="2:9" ht="15" customHeight="1" x14ac:dyDescent="0.2">
      <c r="B51" t="s">
        <v>268</v>
      </c>
      <c r="C51" s="12">
        <v>2</v>
      </c>
      <c r="D51" s="8">
        <v>4.6500000000000004</v>
      </c>
      <c r="E51" s="12">
        <v>0</v>
      </c>
      <c r="F51" s="8">
        <v>0</v>
      </c>
      <c r="G51" s="12">
        <v>2</v>
      </c>
      <c r="H51" s="8">
        <v>18.18</v>
      </c>
      <c r="I51" s="12">
        <v>0</v>
      </c>
    </row>
    <row r="52" spans="2:9" ht="15" customHeight="1" x14ac:dyDescent="0.2">
      <c r="B52" t="s">
        <v>256</v>
      </c>
      <c r="C52" s="12">
        <v>2</v>
      </c>
      <c r="D52" s="8">
        <v>4.6500000000000004</v>
      </c>
      <c r="E52" s="12">
        <v>2</v>
      </c>
      <c r="F52" s="8">
        <v>7.14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218</v>
      </c>
      <c r="C53" s="12">
        <v>2</v>
      </c>
      <c r="D53" s="8">
        <v>4.6500000000000004</v>
      </c>
      <c r="E53" s="12">
        <v>2</v>
      </c>
      <c r="F53" s="8">
        <v>7.14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222</v>
      </c>
      <c r="C54" s="12">
        <v>2</v>
      </c>
      <c r="D54" s="8">
        <v>4.6500000000000004</v>
      </c>
      <c r="E54" s="12">
        <v>2</v>
      </c>
      <c r="F54" s="8">
        <v>7.14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273</v>
      </c>
      <c r="C55" s="12">
        <v>2</v>
      </c>
      <c r="D55" s="8">
        <v>4.6500000000000004</v>
      </c>
      <c r="E55" s="12">
        <v>0</v>
      </c>
      <c r="F55" s="8">
        <v>0</v>
      </c>
      <c r="G55" s="12">
        <v>1</v>
      </c>
      <c r="H55" s="8">
        <v>9.09</v>
      </c>
      <c r="I55" s="12">
        <v>1</v>
      </c>
    </row>
    <row r="56" spans="2:9" ht="15" customHeight="1" x14ac:dyDescent="0.2">
      <c r="B56" t="s">
        <v>203</v>
      </c>
      <c r="C56" s="12">
        <v>1</v>
      </c>
      <c r="D56" s="8">
        <v>2.33</v>
      </c>
      <c r="E56" s="12">
        <v>1</v>
      </c>
      <c r="F56" s="8">
        <v>3.57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265</v>
      </c>
      <c r="C57" s="12">
        <v>1</v>
      </c>
      <c r="D57" s="8">
        <v>2.33</v>
      </c>
      <c r="E57" s="12">
        <v>0</v>
      </c>
      <c r="F57" s="8">
        <v>0</v>
      </c>
      <c r="G57" s="12">
        <v>1</v>
      </c>
      <c r="H57" s="8">
        <v>9.09</v>
      </c>
      <c r="I57" s="12">
        <v>0</v>
      </c>
    </row>
    <row r="58" spans="2:9" ht="15" customHeight="1" x14ac:dyDescent="0.2">
      <c r="B58" t="s">
        <v>266</v>
      </c>
      <c r="C58" s="12">
        <v>1</v>
      </c>
      <c r="D58" s="8">
        <v>2.33</v>
      </c>
      <c r="E58" s="12">
        <v>0</v>
      </c>
      <c r="F58" s="8">
        <v>0</v>
      </c>
      <c r="G58" s="12">
        <v>1</v>
      </c>
      <c r="H58" s="8">
        <v>9.09</v>
      </c>
      <c r="I58" s="12">
        <v>0</v>
      </c>
    </row>
    <row r="59" spans="2:9" ht="15" customHeight="1" x14ac:dyDescent="0.2">
      <c r="B59" t="s">
        <v>267</v>
      </c>
      <c r="C59" s="12">
        <v>1</v>
      </c>
      <c r="D59" s="8">
        <v>2.33</v>
      </c>
      <c r="E59" s="12">
        <v>0</v>
      </c>
      <c r="F59" s="8">
        <v>0</v>
      </c>
      <c r="G59" s="12">
        <v>1</v>
      </c>
      <c r="H59" s="8">
        <v>9.09</v>
      </c>
      <c r="I59" s="12">
        <v>0</v>
      </c>
    </row>
    <row r="60" spans="2:9" ht="15" customHeight="1" x14ac:dyDescent="0.2">
      <c r="B60" t="s">
        <v>253</v>
      </c>
      <c r="C60" s="12">
        <v>1</v>
      </c>
      <c r="D60" s="8">
        <v>2.33</v>
      </c>
      <c r="E60" s="12">
        <v>0</v>
      </c>
      <c r="F60" s="8">
        <v>0</v>
      </c>
      <c r="G60" s="12">
        <v>0</v>
      </c>
      <c r="H60" s="8">
        <v>0</v>
      </c>
      <c r="I60" s="12">
        <v>1</v>
      </c>
    </row>
    <row r="61" spans="2:9" ht="15" customHeight="1" x14ac:dyDescent="0.2">
      <c r="B61" t="s">
        <v>202</v>
      </c>
      <c r="C61" s="12">
        <v>1</v>
      </c>
      <c r="D61" s="8">
        <v>2.33</v>
      </c>
      <c r="E61" s="12">
        <v>1</v>
      </c>
      <c r="F61" s="8">
        <v>3.57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269</v>
      </c>
      <c r="C62" s="12">
        <v>1</v>
      </c>
      <c r="D62" s="8">
        <v>2.33</v>
      </c>
      <c r="E62" s="12">
        <v>1</v>
      </c>
      <c r="F62" s="8">
        <v>3.57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270</v>
      </c>
      <c r="C63" s="12">
        <v>1</v>
      </c>
      <c r="D63" s="8">
        <v>2.33</v>
      </c>
      <c r="E63" s="12">
        <v>0</v>
      </c>
      <c r="F63" s="8">
        <v>0</v>
      </c>
      <c r="G63" s="12">
        <v>0</v>
      </c>
      <c r="H63" s="8">
        <v>0</v>
      </c>
      <c r="I63" s="12">
        <v>1</v>
      </c>
    </row>
    <row r="64" spans="2:9" ht="15" customHeight="1" x14ac:dyDescent="0.2">
      <c r="B64" t="s">
        <v>271</v>
      </c>
      <c r="C64" s="12">
        <v>1</v>
      </c>
      <c r="D64" s="8">
        <v>2.33</v>
      </c>
      <c r="E64" s="12">
        <v>1</v>
      </c>
      <c r="F64" s="8">
        <v>3.57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210</v>
      </c>
      <c r="C65" s="12">
        <v>1</v>
      </c>
      <c r="D65" s="8">
        <v>2.33</v>
      </c>
      <c r="E65" s="12">
        <v>1</v>
      </c>
      <c r="F65" s="8">
        <v>3.57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186</v>
      </c>
      <c r="C66" s="12">
        <v>1</v>
      </c>
      <c r="D66" s="8">
        <v>2.33</v>
      </c>
      <c r="E66" s="12">
        <v>1</v>
      </c>
      <c r="F66" s="8">
        <v>3.57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156</v>
      </c>
      <c r="C67" s="12">
        <v>1</v>
      </c>
      <c r="D67" s="8">
        <v>2.33</v>
      </c>
      <c r="E67" s="12">
        <v>1</v>
      </c>
      <c r="F67" s="8">
        <v>3.57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158</v>
      </c>
      <c r="C68" s="12">
        <v>1</v>
      </c>
      <c r="D68" s="8">
        <v>2.33</v>
      </c>
      <c r="E68" s="12">
        <v>1</v>
      </c>
      <c r="F68" s="8">
        <v>3.57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220</v>
      </c>
      <c r="C69" s="12">
        <v>1</v>
      </c>
      <c r="D69" s="8">
        <v>2.33</v>
      </c>
      <c r="E69" s="12">
        <v>0</v>
      </c>
      <c r="F69" s="8">
        <v>0</v>
      </c>
      <c r="G69" s="12">
        <v>1</v>
      </c>
      <c r="H69" s="8">
        <v>9.09</v>
      </c>
      <c r="I69" s="12">
        <v>0</v>
      </c>
    </row>
    <row r="70" spans="2:9" ht="15" customHeight="1" x14ac:dyDescent="0.2">
      <c r="B70" t="s">
        <v>160</v>
      </c>
      <c r="C70" s="12">
        <v>1</v>
      </c>
      <c r="D70" s="8">
        <v>2.33</v>
      </c>
      <c r="E70" s="12">
        <v>1</v>
      </c>
      <c r="F70" s="8">
        <v>3.57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161</v>
      </c>
      <c r="C71" s="12">
        <v>1</v>
      </c>
      <c r="D71" s="8">
        <v>2.33</v>
      </c>
      <c r="E71" s="12">
        <v>1</v>
      </c>
      <c r="F71" s="8">
        <v>3.57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165</v>
      </c>
      <c r="C72" s="12">
        <v>1</v>
      </c>
      <c r="D72" s="8">
        <v>2.33</v>
      </c>
      <c r="E72" s="12">
        <v>1</v>
      </c>
      <c r="F72" s="8">
        <v>3.57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211</v>
      </c>
      <c r="C73" s="12">
        <v>1</v>
      </c>
      <c r="D73" s="8">
        <v>2.33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167</v>
      </c>
      <c r="C74" s="12">
        <v>1</v>
      </c>
      <c r="D74" s="8">
        <v>2.33</v>
      </c>
      <c r="E74" s="12">
        <v>1</v>
      </c>
      <c r="F74" s="8">
        <v>3.57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168</v>
      </c>
      <c r="C75" s="12">
        <v>1</v>
      </c>
      <c r="D75" s="8">
        <v>2.33</v>
      </c>
      <c r="E75" s="12">
        <v>1</v>
      </c>
      <c r="F75" s="8">
        <v>3.57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272</v>
      </c>
      <c r="C76" s="12">
        <v>1</v>
      </c>
      <c r="D76" s="8">
        <v>2.33</v>
      </c>
      <c r="E76" s="12">
        <v>0</v>
      </c>
      <c r="F76" s="8">
        <v>0</v>
      </c>
      <c r="G76" s="12">
        <v>1</v>
      </c>
      <c r="H76" s="8">
        <v>9.09</v>
      </c>
      <c r="I76" s="12">
        <v>0</v>
      </c>
    </row>
    <row r="77" spans="2:9" ht="15" customHeight="1" x14ac:dyDescent="0.2">
      <c r="B77" t="s">
        <v>263</v>
      </c>
      <c r="C77" s="12">
        <v>1</v>
      </c>
      <c r="D77" s="8">
        <v>2.33</v>
      </c>
      <c r="E77" s="12">
        <v>1</v>
      </c>
      <c r="F77" s="8">
        <v>3.57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E0A2-F058-40B2-98A7-9E44656BCA7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213</v>
      </c>
      <c r="D6" s="8">
        <v>6.25</v>
      </c>
      <c r="E6" s="12">
        <v>14</v>
      </c>
      <c r="F6" s="8">
        <v>1.23</v>
      </c>
      <c r="G6" s="12">
        <v>199</v>
      </c>
      <c r="H6" s="8">
        <v>8.8000000000000007</v>
      </c>
      <c r="I6" s="12">
        <v>0</v>
      </c>
    </row>
    <row r="7" spans="2:9" ht="15" customHeight="1" x14ac:dyDescent="0.2">
      <c r="B7" t="s">
        <v>73</v>
      </c>
      <c r="C7" s="12">
        <v>198</v>
      </c>
      <c r="D7" s="8">
        <v>5.81</v>
      </c>
      <c r="E7" s="12">
        <v>31</v>
      </c>
      <c r="F7" s="8">
        <v>2.72</v>
      </c>
      <c r="G7" s="12">
        <v>167</v>
      </c>
      <c r="H7" s="8">
        <v>7.38</v>
      </c>
      <c r="I7" s="12">
        <v>0</v>
      </c>
    </row>
    <row r="8" spans="2:9" ht="15" customHeight="1" x14ac:dyDescent="0.2">
      <c r="B8" t="s">
        <v>74</v>
      </c>
      <c r="C8" s="12">
        <v>8</v>
      </c>
      <c r="D8" s="8">
        <v>0.23</v>
      </c>
      <c r="E8" s="12">
        <v>0</v>
      </c>
      <c r="F8" s="8">
        <v>0</v>
      </c>
      <c r="G8" s="12">
        <v>8</v>
      </c>
      <c r="H8" s="8">
        <v>0.35</v>
      </c>
      <c r="I8" s="12">
        <v>0</v>
      </c>
    </row>
    <row r="9" spans="2:9" ht="15" customHeight="1" x14ac:dyDescent="0.2">
      <c r="B9" t="s">
        <v>75</v>
      </c>
      <c r="C9" s="12">
        <v>105</v>
      </c>
      <c r="D9" s="8">
        <v>3.08</v>
      </c>
      <c r="E9" s="12">
        <v>5</v>
      </c>
      <c r="F9" s="8">
        <v>0.44</v>
      </c>
      <c r="G9" s="12">
        <v>99</v>
      </c>
      <c r="H9" s="8">
        <v>4.38</v>
      </c>
      <c r="I9" s="12">
        <v>1</v>
      </c>
    </row>
    <row r="10" spans="2:9" ht="15" customHeight="1" x14ac:dyDescent="0.2">
      <c r="B10" t="s">
        <v>76</v>
      </c>
      <c r="C10" s="12">
        <v>13</v>
      </c>
      <c r="D10" s="8">
        <v>0.38</v>
      </c>
      <c r="E10" s="12">
        <v>1</v>
      </c>
      <c r="F10" s="8">
        <v>0.09</v>
      </c>
      <c r="G10" s="12">
        <v>12</v>
      </c>
      <c r="H10" s="8">
        <v>0.53</v>
      </c>
      <c r="I10" s="12">
        <v>0</v>
      </c>
    </row>
    <row r="11" spans="2:9" ht="15" customHeight="1" x14ac:dyDescent="0.2">
      <c r="B11" t="s">
        <v>77</v>
      </c>
      <c r="C11" s="12">
        <v>710</v>
      </c>
      <c r="D11" s="8">
        <v>20.83</v>
      </c>
      <c r="E11" s="12">
        <v>157</v>
      </c>
      <c r="F11" s="8">
        <v>13.77</v>
      </c>
      <c r="G11" s="12">
        <v>552</v>
      </c>
      <c r="H11" s="8">
        <v>24.4</v>
      </c>
      <c r="I11" s="12">
        <v>1</v>
      </c>
    </row>
    <row r="12" spans="2:9" ht="15" customHeight="1" x14ac:dyDescent="0.2">
      <c r="B12" t="s">
        <v>78</v>
      </c>
      <c r="C12" s="12">
        <v>38</v>
      </c>
      <c r="D12" s="8">
        <v>1.1100000000000001</v>
      </c>
      <c r="E12" s="12">
        <v>0</v>
      </c>
      <c r="F12" s="8">
        <v>0</v>
      </c>
      <c r="G12" s="12">
        <v>38</v>
      </c>
      <c r="H12" s="8">
        <v>1.68</v>
      </c>
      <c r="I12" s="12">
        <v>0</v>
      </c>
    </row>
    <row r="13" spans="2:9" ht="15" customHeight="1" x14ac:dyDescent="0.2">
      <c r="B13" t="s">
        <v>79</v>
      </c>
      <c r="C13" s="12">
        <v>538</v>
      </c>
      <c r="D13" s="8">
        <v>15.78</v>
      </c>
      <c r="E13" s="12">
        <v>84</v>
      </c>
      <c r="F13" s="8">
        <v>7.37</v>
      </c>
      <c r="G13" s="12">
        <v>453</v>
      </c>
      <c r="H13" s="8">
        <v>20.03</v>
      </c>
      <c r="I13" s="12">
        <v>1</v>
      </c>
    </row>
    <row r="14" spans="2:9" ht="15" customHeight="1" x14ac:dyDescent="0.2">
      <c r="B14" t="s">
        <v>80</v>
      </c>
      <c r="C14" s="12">
        <v>513</v>
      </c>
      <c r="D14" s="8">
        <v>15.05</v>
      </c>
      <c r="E14" s="12">
        <v>246</v>
      </c>
      <c r="F14" s="8">
        <v>21.58</v>
      </c>
      <c r="G14" s="12">
        <v>267</v>
      </c>
      <c r="H14" s="8">
        <v>11.8</v>
      </c>
      <c r="I14" s="12">
        <v>0</v>
      </c>
    </row>
    <row r="15" spans="2:9" ht="15" customHeight="1" x14ac:dyDescent="0.2">
      <c r="B15" t="s">
        <v>81</v>
      </c>
      <c r="C15" s="12">
        <v>365</v>
      </c>
      <c r="D15" s="8">
        <v>10.71</v>
      </c>
      <c r="E15" s="12">
        <v>262</v>
      </c>
      <c r="F15" s="8">
        <v>22.98</v>
      </c>
      <c r="G15" s="12">
        <v>103</v>
      </c>
      <c r="H15" s="8">
        <v>4.55</v>
      </c>
      <c r="I15" s="12">
        <v>0</v>
      </c>
    </row>
    <row r="16" spans="2:9" ht="15" customHeight="1" x14ac:dyDescent="0.2">
      <c r="B16" t="s">
        <v>82</v>
      </c>
      <c r="C16" s="12">
        <v>304</v>
      </c>
      <c r="D16" s="8">
        <v>8.92</v>
      </c>
      <c r="E16" s="12">
        <v>170</v>
      </c>
      <c r="F16" s="8">
        <v>14.91</v>
      </c>
      <c r="G16" s="12">
        <v>134</v>
      </c>
      <c r="H16" s="8">
        <v>5.92</v>
      </c>
      <c r="I16" s="12">
        <v>0</v>
      </c>
    </row>
    <row r="17" spans="2:9" ht="15" customHeight="1" x14ac:dyDescent="0.2">
      <c r="B17" t="s">
        <v>83</v>
      </c>
      <c r="C17" s="12">
        <v>133</v>
      </c>
      <c r="D17" s="8">
        <v>3.9</v>
      </c>
      <c r="E17" s="12">
        <v>72</v>
      </c>
      <c r="F17" s="8">
        <v>6.32</v>
      </c>
      <c r="G17" s="12">
        <v>60</v>
      </c>
      <c r="H17" s="8">
        <v>2.65</v>
      </c>
      <c r="I17" s="12">
        <v>0</v>
      </c>
    </row>
    <row r="18" spans="2:9" ht="15" customHeight="1" x14ac:dyDescent="0.2">
      <c r="B18" t="s">
        <v>84</v>
      </c>
      <c r="C18" s="12">
        <v>145</v>
      </c>
      <c r="D18" s="8">
        <v>4.25</v>
      </c>
      <c r="E18" s="12">
        <v>85</v>
      </c>
      <c r="F18" s="8">
        <v>7.46</v>
      </c>
      <c r="G18" s="12">
        <v>60</v>
      </c>
      <c r="H18" s="8">
        <v>2.65</v>
      </c>
      <c r="I18" s="12">
        <v>0</v>
      </c>
    </row>
    <row r="19" spans="2:9" ht="15" customHeight="1" x14ac:dyDescent="0.2">
      <c r="B19" t="s">
        <v>85</v>
      </c>
      <c r="C19" s="12">
        <v>126</v>
      </c>
      <c r="D19" s="8">
        <v>3.7</v>
      </c>
      <c r="E19" s="12">
        <v>13</v>
      </c>
      <c r="F19" s="8">
        <v>1.1399999999999999</v>
      </c>
      <c r="G19" s="12">
        <v>110</v>
      </c>
      <c r="H19" s="8">
        <v>4.8600000000000003</v>
      </c>
      <c r="I19" s="12">
        <v>3</v>
      </c>
    </row>
    <row r="20" spans="2:9" ht="15" customHeight="1" x14ac:dyDescent="0.2">
      <c r="B20" s="9" t="s">
        <v>277</v>
      </c>
      <c r="C20" s="12">
        <f>SUM(LTBL_23102[総数／事業所数])</f>
        <v>3409</v>
      </c>
      <c r="E20" s="12">
        <f>SUBTOTAL(109,LTBL_23102[個人／事業所数])</f>
        <v>1140</v>
      </c>
      <c r="G20" s="12">
        <f>SUBTOTAL(109,LTBL_23102[法人／事業所数])</f>
        <v>2262</v>
      </c>
      <c r="I20" s="12">
        <f>SUBTOTAL(109,LTBL_23102[法人以外の団体／事業所数])</f>
        <v>6</v>
      </c>
    </row>
    <row r="21" spans="2:9" ht="15" customHeight="1" x14ac:dyDescent="0.2">
      <c r="E21" s="11">
        <f>LTBL_23102[[#Totals],[個人／事業所数]]/LTBL_23102[[#Totals],[総数／事業所数]]</f>
        <v>0.33440891757113522</v>
      </c>
      <c r="G21" s="11">
        <f>LTBL_23102[[#Totals],[法人／事業所数]]/LTBL_23102[[#Totals],[総数／事業所数]]</f>
        <v>0.66353769433851573</v>
      </c>
      <c r="I21" s="11">
        <f>LTBL_23102[[#Totals],[法人以外の団体／事業所数]]/LTBL_23102[[#Totals],[総数／事業所数]]</f>
        <v>1.7600469345849222E-3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107</v>
      </c>
      <c r="C24" s="12">
        <v>402</v>
      </c>
      <c r="D24" s="8">
        <v>11.79</v>
      </c>
      <c r="E24" s="12">
        <v>77</v>
      </c>
      <c r="F24" s="8">
        <v>6.75</v>
      </c>
      <c r="G24" s="12">
        <v>324</v>
      </c>
      <c r="H24" s="8">
        <v>14.32</v>
      </c>
      <c r="I24" s="12">
        <v>1</v>
      </c>
    </row>
    <row r="25" spans="2:9" ht="15" customHeight="1" x14ac:dyDescent="0.2">
      <c r="B25" t="s">
        <v>108</v>
      </c>
      <c r="C25" s="12">
        <v>364</v>
      </c>
      <c r="D25" s="8">
        <v>10.68</v>
      </c>
      <c r="E25" s="12">
        <v>213</v>
      </c>
      <c r="F25" s="8">
        <v>18.68</v>
      </c>
      <c r="G25" s="12">
        <v>151</v>
      </c>
      <c r="H25" s="8">
        <v>6.68</v>
      </c>
      <c r="I25" s="12">
        <v>0</v>
      </c>
    </row>
    <row r="26" spans="2:9" ht="15" customHeight="1" x14ac:dyDescent="0.2">
      <c r="B26" t="s">
        <v>110</v>
      </c>
      <c r="C26" s="12">
        <v>347</v>
      </c>
      <c r="D26" s="8">
        <v>10.18</v>
      </c>
      <c r="E26" s="12">
        <v>257</v>
      </c>
      <c r="F26" s="8">
        <v>22.54</v>
      </c>
      <c r="G26" s="12">
        <v>90</v>
      </c>
      <c r="H26" s="8">
        <v>3.98</v>
      </c>
      <c r="I26" s="12">
        <v>0</v>
      </c>
    </row>
    <row r="27" spans="2:9" ht="15" customHeight="1" x14ac:dyDescent="0.2">
      <c r="B27" t="s">
        <v>111</v>
      </c>
      <c r="C27" s="12">
        <v>219</v>
      </c>
      <c r="D27" s="8">
        <v>6.42</v>
      </c>
      <c r="E27" s="12">
        <v>150</v>
      </c>
      <c r="F27" s="8">
        <v>13.16</v>
      </c>
      <c r="G27" s="12">
        <v>69</v>
      </c>
      <c r="H27" s="8">
        <v>3.05</v>
      </c>
      <c r="I27" s="12">
        <v>0</v>
      </c>
    </row>
    <row r="28" spans="2:9" ht="15" customHeight="1" x14ac:dyDescent="0.2">
      <c r="B28" t="s">
        <v>105</v>
      </c>
      <c r="C28" s="12">
        <v>141</v>
      </c>
      <c r="D28" s="8">
        <v>4.1399999999999997</v>
      </c>
      <c r="E28" s="12">
        <v>54</v>
      </c>
      <c r="F28" s="8">
        <v>4.74</v>
      </c>
      <c r="G28" s="12">
        <v>87</v>
      </c>
      <c r="H28" s="8">
        <v>3.85</v>
      </c>
      <c r="I28" s="12">
        <v>0</v>
      </c>
    </row>
    <row r="29" spans="2:9" ht="15" customHeight="1" x14ac:dyDescent="0.2">
      <c r="B29" t="s">
        <v>112</v>
      </c>
      <c r="C29" s="12">
        <v>133</v>
      </c>
      <c r="D29" s="8">
        <v>3.9</v>
      </c>
      <c r="E29" s="12">
        <v>72</v>
      </c>
      <c r="F29" s="8">
        <v>6.32</v>
      </c>
      <c r="G29" s="12">
        <v>60</v>
      </c>
      <c r="H29" s="8">
        <v>2.65</v>
      </c>
      <c r="I29" s="12">
        <v>0</v>
      </c>
    </row>
    <row r="30" spans="2:9" ht="15" customHeight="1" x14ac:dyDescent="0.2">
      <c r="B30" t="s">
        <v>106</v>
      </c>
      <c r="C30" s="12">
        <v>120</v>
      </c>
      <c r="D30" s="8">
        <v>3.52</v>
      </c>
      <c r="E30" s="12">
        <v>6</v>
      </c>
      <c r="F30" s="8">
        <v>0.53</v>
      </c>
      <c r="G30" s="12">
        <v>114</v>
      </c>
      <c r="H30" s="8">
        <v>5.04</v>
      </c>
      <c r="I30" s="12">
        <v>0</v>
      </c>
    </row>
    <row r="31" spans="2:9" ht="15" customHeight="1" x14ac:dyDescent="0.2">
      <c r="B31" t="s">
        <v>100</v>
      </c>
      <c r="C31" s="12">
        <v>104</v>
      </c>
      <c r="D31" s="8">
        <v>3.05</v>
      </c>
      <c r="E31" s="12">
        <v>1</v>
      </c>
      <c r="F31" s="8">
        <v>0.09</v>
      </c>
      <c r="G31" s="12">
        <v>103</v>
      </c>
      <c r="H31" s="8">
        <v>4.55</v>
      </c>
      <c r="I31" s="12">
        <v>0</v>
      </c>
    </row>
    <row r="32" spans="2:9" ht="15" customHeight="1" x14ac:dyDescent="0.2">
      <c r="B32" t="s">
        <v>109</v>
      </c>
      <c r="C32" s="12">
        <v>104</v>
      </c>
      <c r="D32" s="8">
        <v>3.05</v>
      </c>
      <c r="E32" s="12">
        <v>32</v>
      </c>
      <c r="F32" s="8">
        <v>2.81</v>
      </c>
      <c r="G32" s="12">
        <v>72</v>
      </c>
      <c r="H32" s="8">
        <v>3.18</v>
      </c>
      <c r="I32" s="12">
        <v>0</v>
      </c>
    </row>
    <row r="33" spans="2:9" ht="15" customHeight="1" x14ac:dyDescent="0.2">
      <c r="B33" t="s">
        <v>113</v>
      </c>
      <c r="C33" s="12">
        <v>104</v>
      </c>
      <c r="D33" s="8">
        <v>3.05</v>
      </c>
      <c r="E33" s="12">
        <v>85</v>
      </c>
      <c r="F33" s="8">
        <v>7.46</v>
      </c>
      <c r="G33" s="12">
        <v>19</v>
      </c>
      <c r="H33" s="8">
        <v>0.84</v>
      </c>
      <c r="I33" s="12">
        <v>0</v>
      </c>
    </row>
    <row r="34" spans="2:9" ht="15" customHeight="1" x14ac:dyDescent="0.2">
      <c r="B34" t="s">
        <v>101</v>
      </c>
      <c r="C34" s="12">
        <v>101</v>
      </c>
      <c r="D34" s="8">
        <v>2.96</v>
      </c>
      <c r="E34" s="12">
        <v>8</v>
      </c>
      <c r="F34" s="8">
        <v>0.7</v>
      </c>
      <c r="G34" s="12">
        <v>93</v>
      </c>
      <c r="H34" s="8">
        <v>4.1100000000000003</v>
      </c>
      <c r="I34" s="12">
        <v>0</v>
      </c>
    </row>
    <row r="35" spans="2:9" ht="15" customHeight="1" x14ac:dyDescent="0.2">
      <c r="B35" t="s">
        <v>94</v>
      </c>
      <c r="C35" s="12">
        <v>90</v>
      </c>
      <c r="D35" s="8">
        <v>2.64</v>
      </c>
      <c r="E35" s="12">
        <v>3</v>
      </c>
      <c r="F35" s="8">
        <v>0.26</v>
      </c>
      <c r="G35" s="12">
        <v>87</v>
      </c>
      <c r="H35" s="8">
        <v>3.85</v>
      </c>
      <c r="I35" s="12">
        <v>0</v>
      </c>
    </row>
    <row r="36" spans="2:9" ht="15" customHeight="1" x14ac:dyDescent="0.2">
      <c r="B36" t="s">
        <v>103</v>
      </c>
      <c r="C36" s="12">
        <v>80</v>
      </c>
      <c r="D36" s="8">
        <v>2.35</v>
      </c>
      <c r="E36" s="12">
        <v>44</v>
      </c>
      <c r="F36" s="8">
        <v>3.86</v>
      </c>
      <c r="G36" s="12">
        <v>36</v>
      </c>
      <c r="H36" s="8">
        <v>1.59</v>
      </c>
      <c r="I36" s="12">
        <v>0</v>
      </c>
    </row>
    <row r="37" spans="2:9" ht="15" customHeight="1" x14ac:dyDescent="0.2">
      <c r="B37" t="s">
        <v>99</v>
      </c>
      <c r="C37" s="12">
        <v>78</v>
      </c>
      <c r="D37" s="8">
        <v>2.29</v>
      </c>
      <c r="E37" s="12">
        <v>4</v>
      </c>
      <c r="F37" s="8">
        <v>0.35</v>
      </c>
      <c r="G37" s="12">
        <v>74</v>
      </c>
      <c r="H37" s="8">
        <v>3.27</v>
      </c>
      <c r="I37" s="12">
        <v>0</v>
      </c>
    </row>
    <row r="38" spans="2:9" ht="15" customHeight="1" x14ac:dyDescent="0.2">
      <c r="B38" t="s">
        <v>114</v>
      </c>
      <c r="C38" s="12">
        <v>78</v>
      </c>
      <c r="D38" s="8">
        <v>2.29</v>
      </c>
      <c r="E38" s="12">
        <v>3</v>
      </c>
      <c r="F38" s="8">
        <v>0.26</v>
      </c>
      <c r="G38" s="12">
        <v>73</v>
      </c>
      <c r="H38" s="8">
        <v>3.23</v>
      </c>
      <c r="I38" s="12">
        <v>2</v>
      </c>
    </row>
    <row r="39" spans="2:9" ht="15" customHeight="1" x14ac:dyDescent="0.2">
      <c r="B39" t="s">
        <v>96</v>
      </c>
      <c r="C39" s="12">
        <v>71</v>
      </c>
      <c r="D39" s="8">
        <v>2.08</v>
      </c>
      <c r="E39" s="12">
        <v>8</v>
      </c>
      <c r="F39" s="8">
        <v>0.7</v>
      </c>
      <c r="G39" s="12">
        <v>63</v>
      </c>
      <c r="H39" s="8">
        <v>2.79</v>
      </c>
      <c r="I39" s="12">
        <v>0</v>
      </c>
    </row>
    <row r="40" spans="2:9" ht="15" customHeight="1" x14ac:dyDescent="0.2">
      <c r="B40" t="s">
        <v>102</v>
      </c>
      <c r="C40" s="12">
        <v>71</v>
      </c>
      <c r="D40" s="8">
        <v>2.08</v>
      </c>
      <c r="E40" s="12">
        <v>26</v>
      </c>
      <c r="F40" s="8">
        <v>2.2799999999999998</v>
      </c>
      <c r="G40" s="12">
        <v>45</v>
      </c>
      <c r="H40" s="8">
        <v>1.99</v>
      </c>
      <c r="I40" s="12">
        <v>0</v>
      </c>
    </row>
    <row r="41" spans="2:9" ht="15" customHeight="1" x14ac:dyDescent="0.2">
      <c r="B41" t="s">
        <v>115</v>
      </c>
      <c r="C41" s="12">
        <v>58</v>
      </c>
      <c r="D41" s="8">
        <v>1.7</v>
      </c>
      <c r="E41" s="12">
        <v>14</v>
      </c>
      <c r="F41" s="8">
        <v>1.23</v>
      </c>
      <c r="G41" s="12">
        <v>44</v>
      </c>
      <c r="H41" s="8">
        <v>1.95</v>
      </c>
      <c r="I41" s="12">
        <v>0</v>
      </c>
    </row>
    <row r="42" spans="2:9" ht="15" customHeight="1" x14ac:dyDescent="0.2">
      <c r="B42" t="s">
        <v>117</v>
      </c>
      <c r="C42" s="12">
        <v>53</v>
      </c>
      <c r="D42" s="8">
        <v>1.55</v>
      </c>
      <c r="E42" s="12">
        <v>12</v>
      </c>
      <c r="F42" s="8">
        <v>1.05</v>
      </c>
      <c r="G42" s="12">
        <v>41</v>
      </c>
      <c r="H42" s="8">
        <v>1.81</v>
      </c>
      <c r="I42" s="12">
        <v>0</v>
      </c>
    </row>
    <row r="43" spans="2:9" ht="15" customHeight="1" x14ac:dyDescent="0.2">
      <c r="B43" t="s">
        <v>95</v>
      </c>
      <c r="C43" s="12">
        <v>52</v>
      </c>
      <c r="D43" s="8">
        <v>1.53</v>
      </c>
      <c r="E43" s="12">
        <v>3</v>
      </c>
      <c r="F43" s="8">
        <v>0.26</v>
      </c>
      <c r="G43" s="12">
        <v>49</v>
      </c>
      <c r="H43" s="8">
        <v>2.17</v>
      </c>
      <c r="I43" s="12">
        <v>0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193</v>
      </c>
      <c r="D47" s="8">
        <v>5.66</v>
      </c>
      <c r="E47" s="12">
        <v>47</v>
      </c>
      <c r="F47" s="8">
        <v>4.12</v>
      </c>
      <c r="G47" s="12">
        <v>146</v>
      </c>
      <c r="H47" s="8">
        <v>6.45</v>
      </c>
      <c r="I47" s="12">
        <v>0</v>
      </c>
    </row>
    <row r="48" spans="2:9" ht="15" customHeight="1" x14ac:dyDescent="0.2">
      <c r="B48" t="s">
        <v>163</v>
      </c>
      <c r="C48" s="12">
        <v>116</v>
      </c>
      <c r="D48" s="8">
        <v>3.4</v>
      </c>
      <c r="E48" s="12">
        <v>83</v>
      </c>
      <c r="F48" s="8">
        <v>7.28</v>
      </c>
      <c r="G48" s="12">
        <v>33</v>
      </c>
      <c r="H48" s="8">
        <v>1.46</v>
      </c>
      <c r="I48" s="12">
        <v>0</v>
      </c>
    </row>
    <row r="49" spans="2:9" ht="15" customHeight="1" x14ac:dyDescent="0.2">
      <c r="B49" t="s">
        <v>160</v>
      </c>
      <c r="C49" s="12">
        <v>98</v>
      </c>
      <c r="D49" s="8">
        <v>2.87</v>
      </c>
      <c r="E49" s="12">
        <v>12</v>
      </c>
      <c r="F49" s="8">
        <v>1.05</v>
      </c>
      <c r="G49" s="12">
        <v>86</v>
      </c>
      <c r="H49" s="8">
        <v>3.8</v>
      </c>
      <c r="I49" s="12">
        <v>0</v>
      </c>
    </row>
    <row r="50" spans="2:9" ht="15" customHeight="1" x14ac:dyDescent="0.2">
      <c r="B50" t="s">
        <v>168</v>
      </c>
      <c r="C50" s="12">
        <v>92</v>
      </c>
      <c r="D50" s="8">
        <v>2.7</v>
      </c>
      <c r="E50" s="12">
        <v>66</v>
      </c>
      <c r="F50" s="8">
        <v>5.79</v>
      </c>
      <c r="G50" s="12">
        <v>26</v>
      </c>
      <c r="H50" s="8">
        <v>1.1499999999999999</v>
      </c>
      <c r="I50" s="12">
        <v>0</v>
      </c>
    </row>
    <row r="51" spans="2:9" ht="15" customHeight="1" x14ac:dyDescent="0.2">
      <c r="B51" t="s">
        <v>159</v>
      </c>
      <c r="C51" s="12">
        <v>87</v>
      </c>
      <c r="D51" s="8">
        <v>2.5499999999999998</v>
      </c>
      <c r="E51" s="12">
        <v>5</v>
      </c>
      <c r="F51" s="8">
        <v>0.44</v>
      </c>
      <c r="G51" s="12">
        <v>82</v>
      </c>
      <c r="H51" s="8">
        <v>3.63</v>
      </c>
      <c r="I51" s="12">
        <v>0</v>
      </c>
    </row>
    <row r="52" spans="2:9" ht="15" customHeight="1" x14ac:dyDescent="0.2">
      <c r="B52" t="s">
        <v>175</v>
      </c>
      <c r="C52" s="12">
        <v>84</v>
      </c>
      <c r="D52" s="8">
        <v>2.46</v>
      </c>
      <c r="E52" s="12">
        <v>75</v>
      </c>
      <c r="F52" s="8">
        <v>6.58</v>
      </c>
      <c r="G52" s="12">
        <v>9</v>
      </c>
      <c r="H52" s="8">
        <v>0.4</v>
      </c>
      <c r="I52" s="12">
        <v>0</v>
      </c>
    </row>
    <row r="53" spans="2:9" ht="15" customHeight="1" x14ac:dyDescent="0.2">
      <c r="B53" t="s">
        <v>165</v>
      </c>
      <c r="C53" s="12">
        <v>81</v>
      </c>
      <c r="D53" s="8">
        <v>2.38</v>
      </c>
      <c r="E53" s="12">
        <v>69</v>
      </c>
      <c r="F53" s="8">
        <v>6.05</v>
      </c>
      <c r="G53" s="12">
        <v>12</v>
      </c>
      <c r="H53" s="8">
        <v>0.53</v>
      </c>
      <c r="I53" s="12">
        <v>0</v>
      </c>
    </row>
    <row r="54" spans="2:9" ht="15" customHeight="1" x14ac:dyDescent="0.2">
      <c r="B54" t="s">
        <v>170</v>
      </c>
      <c r="C54" s="12">
        <v>79</v>
      </c>
      <c r="D54" s="8">
        <v>2.3199999999999998</v>
      </c>
      <c r="E54" s="12">
        <v>49</v>
      </c>
      <c r="F54" s="8">
        <v>4.3</v>
      </c>
      <c r="G54" s="12">
        <v>30</v>
      </c>
      <c r="H54" s="8">
        <v>1.33</v>
      </c>
      <c r="I54" s="12">
        <v>0</v>
      </c>
    </row>
    <row r="55" spans="2:9" ht="15" customHeight="1" x14ac:dyDescent="0.2">
      <c r="B55" t="s">
        <v>162</v>
      </c>
      <c r="C55" s="12">
        <v>76</v>
      </c>
      <c r="D55" s="8">
        <v>2.23</v>
      </c>
      <c r="E55" s="12">
        <v>25</v>
      </c>
      <c r="F55" s="8">
        <v>2.19</v>
      </c>
      <c r="G55" s="12">
        <v>51</v>
      </c>
      <c r="H55" s="8">
        <v>2.25</v>
      </c>
      <c r="I55" s="12">
        <v>0</v>
      </c>
    </row>
    <row r="56" spans="2:9" ht="15" customHeight="1" x14ac:dyDescent="0.2">
      <c r="B56" t="s">
        <v>174</v>
      </c>
      <c r="C56" s="12">
        <v>66</v>
      </c>
      <c r="D56" s="8">
        <v>1.94</v>
      </c>
      <c r="E56" s="12">
        <v>2</v>
      </c>
      <c r="F56" s="8">
        <v>0.18</v>
      </c>
      <c r="G56" s="12">
        <v>63</v>
      </c>
      <c r="H56" s="8">
        <v>2.79</v>
      </c>
      <c r="I56" s="12">
        <v>1</v>
      </c>
    </row>
    <row r="57" spans="2:9" ht="15" customHeight="1" x14ac:dyDescent="0.2">
      <c r="B57" t="s">
        <v>171</v>
      </c>
      <c r="C57" s="12">
        <v>65</v>
      </c>
      <c r="D57" s="8">
        <v>1.91</v>
      </c>
      <c r="E57" s="12">
        <v>51</v>
      </c>
      <c r="F57" s="8">
        <v>4.47</v>
      </c>
      <c r="G57" s="12">
        <v>14</v>
      </c>
      <c r="H57" s="8">
        <v>0.62</v>
      </c>
      <c r="I57" s="12">
        <v>0</v>
      </c>
    </row>
    <row r="58" spans="2:9" ht="15" customHeight="1" x14ac:dyDescent="0.2">
      <c r="B58" t="s">
        <v>158</v>
      </c>
      <c r="C58" s="12">
        <v>59</v>
      </c>
      <c r="D58" s="8">
        <v>1.73</v>
      </c>
      <c r="E58" s="12">
        <v>34</v>
      </c>
      <c r="F58" s="8">
        <v>2.98</v>
      </c>
      <c r="G58" s="12">
        <v>25</v>
      </c>
      <c r="H58" s="8">
        <v>1.1100000000000001</v>
      </c>
      <c r="I58" s="12">
        <v>0</v>
      </c>
    </row>
    <row r="59" spans="2:9" ht="15" customHeight="1" x14ac:dyDescent="0.2">
      <c r="B59" t="s">
        <v>164</v>
      </c>
      <c r="C59" s="12">
        <v>59</v>
      </c>
      <c r="D59" s="8">
        <v>1.73</v>
      </c>
      <c r="E59" s="12">
        <v>44</v>
      </c>
      <c r="F59" s="8">
        <v>3.86</v>
      </c>
      <c r="G59" s="12">
        <v>15</v>
      </c>
      <c r="H59" s="8">
        <v>0.66</v>
      </c>
      <c r="I59" s="12">
        <v>0</v>
      </c>
    </row>
    <row r="60" spans="2:9" ht="15" customHeight="1" x14ac:dyDescent="0.2">
      <c r="B60" t="s">
        <v>181</v>
      </c>
      <c r="C60" s="12">
        <v>58</v>
      </c>
      <c r="D60" s="8">
        <v>1.7</v>
      </c>
      <c r="E60" s="12">
        <v>53</v>
      </c>
      <c r="F60" s="8">
        <v>4.6500000000000004</v>
      </c>
      <c r="G60" s="12">
        <v>5</v>
      </c>
      <c r="H60" s="8">
        <v>0.22</v>
      </c>
      <c r="I60" s="12">
        <v>0</v>
      </c>
    </row>
    <row r="61" spans="2:9" ht="15" customHeight="1" x14ac:dyDescent="0.2">
      <c r="B61" t="s">
        <v>178</v>
      </c>
      <c r="C61" s="12">
        <v>58</v>
      </c>
      <c r="D61" s="8">
        <v>1.7</v>
      </c>
      <c r="E61" s="12">
        <v>4</v>
      </c>
      <c r="F61" s="8">
        <v>0.35</v>
      </c>
      <c r="G61" s="12">
        <v>54</v>
      </c>
      <c r="H61" s="8">
        <v>2.39</v>
      </c>
      <c r="I61" s="12">
        <v>0</v>
      </c>
    </row>
    <row r="62" spans="2:9" ht="15" customHeight="1" x14ac:dyDescent="0.2">
      <c r="B62" t="s">
        <v>180</v>
      </c>
      <c r="C62" s="12">
        <v>57</v>
      </c>
      <c r="D62" s="8">
        <v>1.67</v>
      </c>
      <c r="E62" s="12">
        <v>1</v>
      </c>
      <c r="F62" s="8">
        <v>0.09</v>
      </c>
      <c r="G62" s="12">
        <v>54</v>
      </c>
      <c r="H62" s="8">
        <v>2.39</v>
      </c>
      <c r="I62" s="12">
        <v>2</v>
      </c>
    </row>
    <row r="63" spans="2:9" ht="15" customHeight="1" x14ac:dyDescent="0.2">
      <c r="B63" t="s">
        <v>173</v>
      </c>
      <c r="C63" s="12">
        <v>53</v>
      </c>
      <c r="D63" s="8">
        <v>1.55</v>
      </c>
      <c r="E63" s="12">
        <v>4</v>
      </c>
      <c r="F63" s="8">
        <v>0.35</v>
      </c>
      <c r="G63" s="12">
        <v>49</v>
      </c>
      <c r="H63" s="8">
        <v>2.17</v>
      </c>
      <c r="I63" s="12">
        <v>0</v>
      </c>
    </row>
    <row r="64" spans="2:9" ht="15" customHeight="1" x14ac:dyDescent="0.2">
      <c r="B64" t="s">
        <v>179</v>
      </c>
      <c r="C64" s="12">
        <v>53</v>
      </c>
      <c r="D64" s="8">
        <v>1.55</v>
      </c>
      <c r="E64" s="12">
        <v>39</v>
      </c>
      <c r="F64" s="8">
        <v>3.42</v>
      </c>
      <c r="G64" s="12">
        <v>14</v>
      </c>
      <c r="H64" s="8">
        <v>0.62</v>
      </c>
      <c r="I64" s="12">
        <v>0</v>
      </c>
    </row>
    <row r="65" spans="2:9" ht="15" customHeight="1" x14ac:dyDescent="0.2">
      <c r="B65" t="s">
        <v>177</v>
      </c>
      <c r="C65" s="12">
        <v>50</v>
      </c>
      <c r="D65" s="8">
        <v>1.47</v>
      </c>
      <c r="E65" s="12">
        <v>0</v>
      </c>
      <c r="F65" s="8">
        <v>0</v>
      </c>
      <c r="G65" s="12">
        <v>50</v>
      </c>
      <c r="H65" s="8">
        <v>2.21</v>
      </c>
      <c r="I65" s="12">
        <v>0</v>
      </c>
    </row>
    <row r="66" spans="2:9" ht="15" customHeight="1" x14ac:dyDescent="0.2">
      <c r="B66" t="s">
        <v>182</v>
      </c>
      <c r="C66" s="12">
        <v>46</v>
      </c>
      <c r="D66" s="8">
        <v>1.35</v>
      </c>
      <c r="E66" s="12">
        <v>43</v>
      </c>
      <c r="F66" s="8">
        <v>3.77</v>
      </c>
      <c r="G66" s="12">
        <v>3</v>
      </c>
      <c r="H66" s="8">
        <v>0.13</v>
      </c>
      <c r="I66" s="12">
        <v>0</v>
      </c>
    </row>
    <row r="67" spans="2:9" ht="15" customHeight="1" x14ac:dyDescent="0.2">
      <c r="B67" t="s">
        <v>183</v>
      </c>
      <c r="C67" s="12">
        <v>46</v>
      </c>
      <c r="D67" s="8">
        <v>1.35</v>
      </c>
      <c r="E67" s="12">
        <v>18</v>
      </c>
      <c r="F67" s="8">
        <v>1.58</v>
      </c>
      <c r="G67" s="12">
        <v>28</v>
      </c>
      <c r="H67" s="8">
        <v>1.24</v>
      </c>
      <c r="I67" s="12">
        <v>0</v>
      </c>
    </row>
    <row r="69" spans="2:9" ht="15" customHeight="1" x14ac:dyDescent="0.2">
      <c r="B69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7157-C23A-4275-84FA-3D548A633B4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284</v>
      </c>
    </row>
    <row r="4" spans="2:9" ht="33" customHeight="1" x14ac:dyDescent="0.2">
      <c r="B4" t="s">
        <v>276</v>
      </c>
      <c r="C4" s="10" t="s">
        <v>87</v>
      </c>
      <c r="D4" s="10" t="s">
        <v>88</v>
      </c>
      <c r="E4" s="10" t="s">
        <v>89</v>
      </c>
      <c r="F4" s="10" t="s">
        <v>90</v>
      </c>
      <c r="G4" s="10" t="s">
        <v>91</v>
      </c>
      <c r="H4" s="10" t="s">
        <v>92</v>
      </c>
      <c r="I4" s="10" t="s">
        <v>93</v>
      </c>
    </row>
    <row r="5" spans="2:9" ht="15" customHeight="1" x14ac:dyDescent="0.2">
      <c r="B5" t="s">
        <v>71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72</v>
      </c>
      <c r="C6" s="12">
        <v>605</v>
      </c>
      <c r="D6" s="8">
        <v>14.45</v>
      </c>
      <c r="E6" s="12">
        <v>86</v>
      </c>
      <c r="F6" s="8">
        <v>4.71</v>
      </c>
      <c r="G6" s="12">
        <v>519</v>
      </c>
      <c r="H6" s="8">
        <v>22.06</v>
      </c>
      <c r="I6" s="12">
        <v>0</v>
      </c>
    </row>
    <row r="7" spans="2:9" ht="15" customHeight="1" x14ac:dyDescent="0.2">
      <c r="B7" t="s">
        <v>73</v>
      </c>
      <c r="C7" s="12">
        <v>493</v>
      </c>
      <c r="D7" s="8">
        <v>11.78</v>
      </c>
      <c r="E7" s="12">
        <v>140</v>
      </c>
      <c r="F7" s="8">
        <v>7.67</v>
      </c>
      <c r="G7" s="12">
        <v>353</v>
      </c>
      <c r="H7" s="8">
        <v>15</v>
      </c>
      <c r="I7" s="12">
        <v>0</v>
      </c>
    </row>
    <row r="8" spans="2:9" ht="15" customHeight="1" x14ac:dyDescent="0.2">
      <c r="B8" t="s">
        <v>74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0.08</v>
      </c>
      <c r="I8" s="12">
        <v>0</v>
      </c>
    </row>
    <row r="9" spans="2:9" ht="15" customHeight="1" x14ac:dyDescent="0.2">
      <c r="B9" t="s">
        <v>75</v>
      </c>
      <c r="C9" s="12">
        <v>33</v>
      </c>
      <c r="D9" s="8">
        <v>0.79</v>
      </c>
      <c r="E9" s="12">
        <v>2</v>
      </c>
      <c r="F9" s="8">
        <v>0.11</v>
      </c>
      <c r="G9" s="12">
        <v>30</v>
      </c>
      <c r="H9" s="8">
        <v>1.27</v>
      </c>
      <c r="I9" s="12">
        <v>1</v>
      </c>
    </row>
    <row r="10" spans="2:9" ht="15" customHeight="1" x14ac:dyDescent="0.2">
      <c r="B10" t="s">
        <v>76</v>
      </c>
      <c r="C10" s="12">
        <v>39</v>
      </c>
      <c r="D10" s="8">
        <v>0.93</v>
      </c>
      <c r="E10" s="12">
        <v>7</v>
      </c>
      <c r="F10" s="8">
        <v>0.38</v>
      </c>
      <c r="G10" s="12">
        <v>32</v>
      </c>
      <c r="H10" s="8">
        <v>1.36</v>
      </c>
      <c r="I10" s="12">
        <v>0</v>
      </c>
    </row>
    <row r="11" spans="2:9" ht="15" customHeight="1" x14ac:dyDescent="0.2">
      <c r="B11" t="s">
        <v>77</v>
      </c>
      <c r="C11" s="12">
        <v>814</v>
      </c>
      <c r="D11" s="8">
        <v>19.45</v>
      </c>
      <c r="E11" s="12">
        <v>291</v>
      </c>
      <c r="F11" s="8">
        <v>15.94</v>
      </c>
      <c r="G11" s="12">
        <v>523</v>
      </c>
      <c r="H11" s="8">
        <v>22.23</v>
      </c>
      <c r="I11" s="12">
        <v>0</v>
      </c>
    </row>
    <row r="12" spans="2:9" ht="15" customHeight="1" x14ac:dyDescent="0.2">
      <c r="B12" t="s">
        <v>78</v>
      </c>
      <c r="C12" s="12">
        <v>37</v>
      </c>
      <c r="D12" s="8">
        <v>0.88</v>
      </c>
      <c r="E12" s="12">
        <v>3</v>
      </c>
      <c r="F12" s="8">
        <v>0.16</v>
      </c>
      <c r="G12" s="12">
        <v>34</v>
      </c>
      <c r="H12" s="8">
        <v>1.44</v>
      </c>
      <c r="I12" s="12">
        <v>0</v>
      </c>
    </row>
    <row r="13" spans="2:9" ht="15" customHeight="1" x14ac:dyDescent="0.2">
      <c r="B13" t="s">
        <v>79</v>
      </c>
      <c r="C13" s="12">
        <v>449</v>
      </c>
      <c r="D13" s="8">
        <v>10.73</v>
      </c>
      <c r="E13" s="12">
        <v>112</v>
      </c>
      <c r="F13" s="8">
        <v>6.13</v>
      </c>
      <c r="G13" s="12">
        <v>336</v>
      </c>
      <c r="H13" s="8">
        <v>14.28</v>
      </c>
      <c r="I13" s="12">
        <v>1</v>
      </c>
    </row>
    <row r="14" spans="2:9" ht="15" customHeight="1" x14ac:dyDescent="0.2">
      <c r="B14" t="s">
        <v>80</v>
      </c>
      <c r="C14" s="12">
        <v>277</v>
      </c>
      <c r="D14" s="8">
        <v>6.62</v>
      </c>
      <c r="E14" s="12">
        <v>161</v>
      </c>
      <c r="F14" s="8">
        <v>8.82</v>
      </c>
      <c r="G14" s="12">
        <v>115</v>
      </c>
      <c r="H14" s="8">
        <v>4.8899999999999997</v>
      </c>
      <c r="I14" s="12">
        <v>0</v>
      </c>
    </row>
    <row r="15" spans="2:9" ht="15" customHeight="1" x14ac:dyDescent="0.2">
      <c r="B15" t="s">
        <v>81</v>
      </c>
      <c r="C15" s="12">
        <v>523</v>
      </c>
      <c r="D15" s="8">
        <v>12.49</v>
      </c>
      <c r="E15" s="12">
        <v>445</v>
      </c>
      <c r="F15" s="8">
        <v>24.37</v>
      </c>
      <c r="G15" s="12">
        <v>77</v>
      </c>
      <c r="H15" s="8">
        <v>3.27</v>
      </c>
      <c r="I15" s="12">
        <v>0</v>
      </c>
    </row>
    <row r="16" spans="2:9" ht="15" customHeight="1" x14ac:dyDescent="0.2">
      <c r="B16" t="s">
        <v>82</v>
      </c>
      <c r="C16" s="12">
        <v>421</v>
      </c>
      <c r="D16" s="8">
        <v>10.06</v>
      </c>
      <c r="E16" s="12">
        <v>308</v>
      </c>
      <c r="F16" s="8">
        <v>16.87</v>
      </c>
      <c r="G16" s="12">
        <v>113</v>
      </c>
      <c r="H16" s="8">
        <v>4.8</v>
      </c>
      <c r="I16" s="12">
        <v>0</v>
      </c>
    </row>
    <row r="17" spans="2:9" ht="15" customHeight="1" x14ac:dyDescent="0.2">
      <c r="B17" t="s">
        <v>83</v>
      </c>
      <c r="C17" s="12">
        <v>131</v>
      </c>
      <c r="D17" s="8">
        <v>3.13</v>
      </c>
      <c r="E17" s="12">
        <v>95</v>
      </c>
      <c r="F17" s="8">
        <v>5.2</v>
      </c>
      <c r="G17" s="12">
        <v>36</v>
      </c>
      <c r="H17" s="8">
        <v>1.53</v>
      </c>
      <c r="I17" s="12">
        <v>0</v>
      </c>
    </row>
    <row r="18" spans="2:9" ht="15" customHeight="1" x14ac:dyDescent="0.2">
      <c r="B18" t="s">
        <v>84</v>
      </c>
      <c r="C18" s="12">
        <v>225</v>
      </c>
      <c r="D18" s="8">
        <v>5.38</v>
      </c>
      <c r="E18" s="12">
        <v>139</v>
      </c>
      <c r="F18" s="8">
        <v>7.61</v>
      </c>
      <c r="G18" s="12">
        <v>84</v>
      </c>
      <c r="H18" s="8">
        <v>3.57</v>
      </c>
      <c r="I18" s="12">
        <v>2</v>
      </c>
    </row>
    <row r="19" spans="2:9" ht="15" customHeight="1" x14ac:dyDescent="0.2">
      <c r="B19" t="s">
        <v>85</v>
      </c>
      <c r="C19" s="12">
        <v>137</v>
      </c>
      <c r="D19" s="8">
        <v>3.27</v>
      </c>
      <c r="E19" s="12">
        <v>37</v>
      </c>
      <c r="F19" s="8">
        <v>2.0299999999999998</v>
      </c>
      <c r="G19" s="12">
        <v>99</v>
      </c>
      <c r="H19" s="8">
        <v>4.21</v>
      </c>
      <c r="I19" s="12">
        <v>0</v>
      </c>
    </row>
    <row r="20" spans="2:9" ht="15" customHeight="1" x14ac:dyDescent="0.2">
      <c r="B20" s="9" t="s">
        <v>277</v>
      </c>
      <c r="C20" s="12">
        <f>SUM(LTBL_23103[総数／事業所数])</f>
        <v>4186</v>
      </c>
      <c r="E20" s="12">
        <f>SUBTOTAL(109,LTBL_23103[個人／事業所数])</f>
        <v>1826</v>
      </c>
      <c r="G20" s="12">
        <f>SUBTOTAL(109,LTBL_23103[法人／事業所数])</f>
        <v>2353</v>
      </c>
      <c r="I20" s="12">
        <f>SUBTOTAL(109,LTBL_23103[法人以外の団体／事業所数])</f>
        <v>4</v>
      </c>
    </row>
    <row r="21" spans="2:9" ht="15" customHeight="1" x14ac:dyDescent="0.2">
      <c r="E21" s="11">
        <f>LTBL_23103[[#Totals],[個人／事業所数]]/LTBL_23103[[#Totals],[総数／事業所数]]</f>
        <v>0.43621595795508838</v>
      </c>
      <c r="G21" s="11">
        <f>LTBL_23103[[#Totals],[法人／事業所数]]/LTBL_23103[[#Totals],[総数／事業所数]]</f>
        <v>0.56211180124223603</v>
      </c>
      <c r="I21" s="11">
        <f>LTBL_23103[[#Totals],[法人以外の団体／事業所数]]/LTBL_23103[[#Totals],[総数／事業所数]]</f>
        <v>9.5556617295747726E-4</v>
      </c>
    </row>
    <row r="23" spans="2:9" ht="33" customHeight="1" x14ac:dyDescent="0.2">
      <c r="B23" t="s">
        <v>278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91</v>
      </c>
      <c r="H23" s="10" t="s">
        <v>92</v>
      </c>
      <c r="I23" s="10" t="s">
        <v>93</v>
      </c>
    </row>
    <row r="24" spans="2:9" ht="15" customHeight="1" x14ac:dyDescent="0.2">
      <c r="B24" t="s">
        <v>110</v>
      </c>
      <c r="C24" s="12">
        <v>490</v>
      </c>
      <c r="D24" s="8">
        <v>11.71</v>
      </c>
      <c r="E24" s="12">
        <v>438</v>
      </c>
      <c r="F24" s="8">
        <v>23.99</v>
      </c>
      <c r="G24" s="12">
        <v>52</v>
      </c>
      <c r="H24" s="8">
        <v>2.21</v>
      </c>
      <c r="I24" s="12">
        <v>0</v>
      </c>
    </row>
    <row r="25" spans="2:9" ht="15" customHeight="1" x14ac:dyDescent="0.2">
      <c r="B25" t="s">
        <v>107</v>
      </c>
      <c r="C25" s="12">
        <v>359</v>
      </c>
      <c r="D25" s="8">
        <v>8.58</v>
      </c>
      <c r="E25" s="12">
        <v>101</v>
      </c>
      <c r="F25" s="8">
        <v>5.53</v>
      </c>
      <c r="G25" s="12">
        <v>257</v>
      </c>
      <c r="H25" s="8">
        <v>10.92</v>
      </c>
      <c r="I25" s="12">
        <v>1</v>
      </c>
    </row>
    <row r="26" spans="2:9" ht="15" customHeight="1" x14ac:dyDescent="0.2">
      <c r="B26" t="s">
        <v>111</v>
      </c>
      <c r="C26" s="12">
        <v>331</v>
      </c>
      <c r="D26" s="8">
        <v>7.91</v>
      </c>
      <c r="E26" s="12">
        <v>276</v>
      </c>
      <c r="F26" s="8">
        <v>15.12</v>
      </c>
      <c r="G26" s="12">
        <v>55</v>
      </c>
      <c r="H26" s="8">
        <v>2.34</v>
      </c>
      <c r="I26" s="12">
        <v>0</v>
      </c>
    </row>
    <row r="27" spans="2:9" ht="15" customHeight="1" x14ac:dyDescent="0.2">
      <c r="B27" t="s">
        <v>96</v>
      </c>
      <c r="C27" s="12">
        <v>232</v>
      </c>
      <c r="D27" s="8">
        <v>5.54</v>
      </c>
      <c r="E27" s="12">
        <v>22</v>
      </c>
      <c r="F27" s="8">
        <v>1.2</v>
      </c>
      <c r="G27" s="12">
        <v>210</v>
      </c>
      <c r="H27" s="8">
        <v>8.92</v>
      </c>
      <c r="I27" s="12">
        <v>0</v>
      </c>
    </row>
    <row r="28" spans="2:9" ht="15" customHeight="1" x14ac:dyDescent="0.2">
      <c r="B28" t="s">
        <v>95</v>
      </c>
      <c r="C28" s="12">
        <v>214</v>
      </c>
      <c r="D28" s="8">
        <v>5.1100000000000003</v>
      </c>
      <c r="E28" s="12">
        <v>43</v>
      </c>
      <c r="F28" s="8">
        <v>2.35</v>
      </c>
      <c r="G28" s="12">
        <v>171</v>
      </c>
      <c r="H28" s="8">
        <v>7.27</v>
      </c>
      <c r="I28" s="12">
        <v>0</v>
      </c>
    </row>
    <row r="29" spans="2:9" ht="15" customHeight="1" x14ac:dyDescent="0.2">
      <c r="B29" t="s">
        <v>105</v>
      </c>
      <c r="C29" s="12">
        <v>175</v>
      </c>
      <c r="D29" s="8">
        <v>4.18</v>
      </c>
      <c r="E29" s="12">
        <v>95</v>
      </c>
      <c r="F29" s="8">
        <v>5.2</v>
      </c>
      <c r="G29" s="12">
        <v>80</v>
      </c>
      <c r="H29" s="8">
        <v>3.4</v>
      </c>
      <c r="I29" s="12">
        <v>0</v>
      </c>
    </row>
    <row r="30" spans="2:9" ht="15" customHeight="1" x14ac:dyDescent="0.2">
      <c r="B30" t="s">
        <v>108</v>
      </c>
      <c r="C30" s="12">
        <v>172</v>
      </c>
      <c r="D30" s="8">
        <v>4.1100000000000003</v>
      </c>
      <c r="E30" s="12">
        <v>116</v>
      </c>
      <c r="F30" s="8">
        <v>6.35</v>
      </c>
      <c r="G30" s="12">
        <v>56</v>
      </c>
      <c r="H30" s="8">
        <v>2.38</v>
      </c>
      <c r="I30" s="12">
        <v>0</v>
      </c>
    </row>
    <row r="31" spans="2:9" ht="15" customHeight="1" x14ac:dyDescent="0.2">
      <c r="B31" t="s">
        <v>113</v>
      </c>
      <c r="C31" s="12">
        <v>163</v>
      </c>
      <c r="D31" s="8">
        <v>3.89</v>
      </c>
      <c r="E31" s="12">
        <v>137</v>
      </c>
      <c r="F31" s="8">
        <v>7.5</v>
      </c>
      <c r="G31" s="12">
        <v>26</v>
      </c>
      <c r="H31" s="8">
        <v>1.1000000000000001</v>
      </c>
      <c r="I31" s="12">
        <v>0</v>
      </c>
    </row>
    <row r="32" spans="2:9" ht="15" customHeight="1" x14ac:dyDescent="0.2">
      <c r="B32" t="s">
        <v>94</v>
      </c>
      <c r="C32" s="12">
        <v>159</v>
      </c>
      <c r="D32" s="8">
        <v>3.8</v>
      </c>
      <c r="E32" s="12">
        <v>21</v>
      </c>
      <c r="F32" s="8">
        <v>1.1499999999999999</v>
      </c>
      <c r="G32" s="12">
        <v>138</v>
      </c>
      <c r="H32" s="8">
        <v>5.86</v>
      </c>
      <c r="I32" s="12">
        <v>0</v>
      </c>
    </row>
    <row r="33" spans="2:9" ht="15" customHeight="1" x14ac:dyDescent="0.2">
      <c r="B33" t="s">
        <v>103</v>
      </c>
      <c r="C33" s="12">
        <v>132</v>
      </c>
      <c r="D33" s="8">
        <v>3.15</v>
      </c>
      <c r="E33" s="12">
        <v>75</v>
      </c>
      <c r="F33" s="8">
        <v>4.1100000000000003</v>
      </c>
      <c r="G33" s="12">
        <v>57</v>
      </c>
      <c r="H33" s="8">
        <v>2.42</v>
      </c>
      <c r="I33" s="12">
        <v>0</v>
      </c>
    </row>
    <row r="34" spans="2:9" ht="15" customHeight="1" x14ac:dyDescent="0.2">
      <c r="B34" t="s">
        <v>112</v>
      </c>
      <c r="C34" s="12">
        <v>131</v>
      </c>
      <c r="D34" s="8">
        <v>3.13</v>
      </c>
      <c r="E34" s="12">
        <v>95</v>
      </c>
      <c r="F34" s="8">
        <v>5.2</v>
      </c>
      <c r="G34" s="12">
        <v>36</v>
      </c>
      <c r="H34" s="8">
        <v>1.53</v>
      </c>
      <c r="I34" s="12">
        <v>0</v>
      </c>
    </row>
    <row r="35" spans="2:9" ht="15" customHeight="1" x14ac:dyDescent="0.2">
      <c r="B35" t="s">
        <v>101</v>
      </c>
      <c r="C35" s="12">
        <v>100</v>
      </c>
      <c r="D35" s="8">
        <v>2.39</v>
      </c>
      <c r="E35" s="12">
        <v>17</v>
      </c>
      <c r="F35" s="8">
        <v>0.93</v>
      </c>
      <c r="G35" s="12">
        <v>83</v>
      </c>
      <c r="H35" s="8">
        <v>3.53</v>
      </c>
      <c r="I35" s="12">
        <v>0</v>
      </c>
    </row>
    <row r="36" spans="2:9" ht="15" customHeight="1" x14ac:dyDescent="0.2">
      <c r="B36" t="s">
        <v>109</v>
      </c>
      <c r="C36" s="12">
        <v>93</v>
      </c>
      <c r="D36" s="8">
        <v>2.2200000000000002</v>
      </c>
      <c r="E36" s="12">
        <v>43</v>
      </c>
      <c r="F36" s="8">
        <v>2.35</v>
      </c>
      <c r="G36" s="12">
        <v>49</v>
      </c>
      <c r="H36" s="8">
        <v>2.08</v>
      </c>
      <c r="I36" s="12">
        <v>0</v>
      </c>
    </row>
    <row r="37" spans="2:9" ht="15" customHeight="1" x14ac:dyDescent="0.2">
      <c r="B37" t="s">
        <v>104</v>
      </c>
      <c r="C37" s="12">
        <v>89</v>
      </c>
      <c r="D37" s="8">
        <v>2.13</v>
      </c>
      <c r="E37" s="12">
        <v>39</v>
      </c>
      <c r="F37" s="8">
        <v>2.14</v>
      </c>
      <c r="G37" s="12">
        <v>50</v>
      </c>
      <c r="H37" s="8">
        <v>2.12</v>
      </c>
      <c r="I37" s="12">
        <v>0</v>
      </c>
    </row>
    <row r="38" spans="2:9" ht="15" customHeight="1" x14ac:dyDescent="0.2">
      <c r="B38" t="s">
        <v>100</v>
      </c>
      <c r="C38" s="12">
        <v>86</v>
      </c>
      <c r="D38" s="8">
        <v>2.0499999999999998</v>
      </c>
      <c r="E38" s="12">
        <v>10</v>
      </c>
      <c r="F38" s="8">
        <v>0.55000000000000004</v>
      </c>
      <c r="G38" s="12">
        <v>76</v>
      </c>
      <c r="H38" s="8">
        <v>3.23</v>
      </c>
      <c r="I38" s="12">
        <v>0</v>
      </c>
    </row>
    <row r="39" spans="2:9" ht="15" customHeight="1" x14ac:dyDescent="0.2">
      <c r="B39" t="s">
        <v>117</v>
      </c>
      <c r="C39" s="12">
        <v>80</v>
      </c>
      <c r="D39" s="8">
        <v>1.91</v>
      </c>
      <c r="E39" s="12">
        <v>24</v>
      </c>
      <c r="F39" s="8">
        <v>1.31</v>
      </c>
      <c r="G39" s="12">
        <v>56</v>
      </c>
      <c r="H39" s="8">
        <v>2.38</v>
      </c>
      <c r="I39" s="12">
        <v>0</v>
      </c>
    </row>
    <row r="40" spans="2:9" ht="15" customHeight="1" x14ac:dyDescent="0.2">
      <c r="B40" t="s">
        <v>99</v>
      </c>
      <c r="C40" s="12">
        <v>70</v>
      </c>
      <c r="D40" s="8">
        <v>1.67</v>
      </c>
      <c r="E40" s="12">
        <v>6</v>
      </c>
      <c r="F40" s="8">
        <v>0.33</v>
      </c>
      <c r="G40" s="12">
        <v>64</v>
      </c>
      <c r="H40" s="8">
        <v>2.72</v>
      </c>
      <c r="I40" s="12">
        <v>0</v>
      </c>
    </row>
    <row r="41" spans="2:9" ht="15" customHeight="1" x14ac:dyDescent="0.2">
      <c r="B41" t="s">
        <v>115</v>
      </c>
      <c r="C41" s="12">
        <v>68</v>
      </c>
      <c r="D41" s="8">
        <v>1.62</v>
      </c>
      <c r="E41" s="12">
        <v>25</v>
      </c>
      <c r="F41" s="8">
        <v>1.37</v>
      </c>
      <c r="G41" s="12">
        <v>43</v>
      </c>
      <c r="H41" s="8">
        <v>1.83</v>
      </c>
      <c r="I41" s="12">
        <v>0</v>
      </c>
    </row>
    <row r="42" spans="2:9" ht="15" customHeight="1" x14ac:dyDescent="0.2">
      <c r="B42" t="s">
        <v>106</v>
      </c>
      <c r="C42" s="12">
        <v>67</v>
      </c>
      <c r="D42" s="8">
        <v>1.6</v>
      </c>
      <c r="E42" s="12">
        <v>7</v>
      </c>
      <c r="F42" s="8">
        <v>0.38</v>
      </c>
      <c r="G42" s="12">
        <v>60</v>
      </c>
      <c r="H42" s="8">
        <v>2.5499999999999998</v>
      </c>
      <c r="I42" s="12">
        <v>0</v>
      </c>
    </row>
    <row r="43" spans="2:9" ht="15" customHeight="1" x14ac:dyDescent="0.2">
      <c r="B43" t="s">
        <v>116</v>
      </c>
      <c r="C43" s="12">
        <v>62</v>
      </c>
      <c r="D43" s="8">
        <v>1.48</v>
      </c>
      <c r="E43" s="12">
        <v>2</v>
      </c>
      <c r="F43" s="8">
        <v>0.11</v>
      </c>
      <c r="G43" s="12">
        <v>58</v>
      </c>
      <c r="H43" s="8">
        <v>2.46</v>
      </c>
      <c r="I43" s="12">
        <v>2</v>
      </c>
    </row>
    <row r="46" spans="2:9" ht="33" customHeight="1" x14ac:dyDescent="0.2">
      <c r="B46" t="s">
        <v>279</v>
      </c>
      <c r="C46" s="10" t="s">
        <v>87</v>
      </c>
      <c r="D46" s="10" t="s">
        <v>88</v>
      </c>
      <c r="E46" s="10" t="s">
        <v>89</v>
      </c>
      <c r="F46" s="10" t="s">
        <v>90</v>
      </c>
      <c r="G46" s="10" t="s">
        <v>91</v>
      </c>
      <c r="H46" s="10" t="s">
        <v>92</v>
      </c>
      <c r="I46" s="10" t="s">
        <v>93</v>
      </c>
    </row>
    <row r="47" spans="2:9" ht="15" customHeight="1" x14ac:dyDescent="0.2">
      <c r="B47" t="s">
        <v>161</v>
      </c>
      <c r="C47" s="12">
        <v>205</v>
      </c>
      <c r="D47" s="8">
        <v>4.9000000000000004</v>
      </c>
      <c r="E47" s="12">
        <v>71</v>
      </c>
      <c r="F47" s="8">
        <v>3.89</v>
      </c>
      <c r="G47" s="12">
        <v>133</v>
      </c>
      <c r="H47" s="8">
        <v>5.65</v>
      </c>
      <c r="I47" s="12">
        <v>1</v>
      </c>
    </row>
    <row r="48" spans="2:9" ht="15" customHeight="1" x14ac:dyDescent="0.2">
      <c r="B48" t="s">
        <v>168</v>
      </c>
      <c r="C48" s="12">
        <v>160</v>
      </c>
      <c r="D48" s="8">
        <v>3.82</v>
      </c>
      <c r="E48" s="12">
        <v>139</v>
      </c>
      <c r="F48" s="8">
        <v>7.61</v>
      </c>
      <c r="G48" s="12">
        <v>21</v>
      </c>
      <c r="H48" s="8">
        <v>0.89</v>
      </c>
      <c r="I48" s="12">
        <v>0</v>
      </c>
    </row>
    <row r="49" spans="2:9" ht="15" customHeight="1" x14ac:dyDescent="0.2">
      <c r="B49" t="s">
        <v>165</v>
      </c>
      <c r="C49" s="12">
        <v>145</v>
      </c>
      <c r="D49" s="8">
        <v>3.46</v>
      </c>
      <c r="E49" s="12">
        <v>142</v>
      </c>
      <c r="F49" s="8">
        <v>7.78</v>
      </c>
      <c r="G49" s="12">
        <v>3</v>
      </c>
      <c r="H49" s="8">
        <v>0.13</v>
      </c>
      <c r="I49" s="12">
        <v>0</v>
      </c>
    </row>
    <row r="50" spans="2:9" ht="15" customHeight="1" x14ac:dyDescent="0.2">
      <c r="B50" t="s">
        <v>171</v>
      </c>
      <c r="C50" s="12">
        <v>125</v>
      </c>
      <c r="D50" s="8">
        <v>2.99</v>
      </c>
      <c r="E50" s="12">
        <v>103</v>
      </c>
      <c r="F50" s="8">
        <v>5.64</v>
      </c>
      <c r="G50" s="12">
        <v>22</v>
      </c>
      <c r="H50" s="8">
        <v>0.93</v>
      </c>
      <c r="I50" s="12">
        <v>0</v>
      </c>
    </row>
    <row r="51" spans="2:9" ht="15" customHeight="1" x14ac:dyDescent="0.2">
      <c r="B51" t="s">
        <v>164</v>
      </c>
      <c r="C51" s="12">
        <v>114</v>
      </c>
      <c r="D51" s="8">
        <v>2.72</v>
      </c>
      <c r="E51" s="12">
        <v>108</v>
      </c>
      <c r="F51" s="8">
        <v>5.91</v>
      </c>
      <c r="G51" s="12">
        <v>6</v>
      </c>
      <c r="H51" s="8">
        <v>0.25</v>
      </c>
      <c r="I51" s="12">
        <v>0</v>
      </c>
    </row>
    <row r="52" spans="2:9" ht="15" customHeight="1" x14ac:dyDescent="0.2">
      <c r="B52" t="s">
        <v>154</v>
      </c>
      <c r="C52" s="12">
        <v>101</v>
      </c>
      <c r="D52" s="8">
        <v>2.41</v>
      </c>
      <c r="E52" s="12">
        <v>11</v>
      </c>
      <c r="F52" s="8">
        <v>0.6</v>
      </c>
      <c r="G52" s="12">
        <v>90</v>
      </c>
      <c r="H52" s="8">
        <v>3.82</v>
      </c>
      <c r="I52" s="12">
        <v>0</v>
      </c>
    </row>
    <row r="53" spans="2:9" ht="15" customHeight="1" x14ac:dyDescent="0.2">
      <c r="B53" t="s">
        <v>163</v>
      </c>
      <c r="C53" s="12">
        <v>95</v>
      </c>
      <c r="D53" s="8">
        <v>2.27</v>
      </c>
      <c r="E53" s="12">
        <v>77</v>
      </c>
      <c r="F53" s="8">
        <v>4.22</v>
      </c>
      <c r="G53" s="12">
        <v>18</v>
      </c>
      <c r="H53" s="8">
        <v>0.76</v>
      </c>
      <c r="I53" s="12">
        <v>0</v>
      </c>
    </row>
    <row r="54" spans="2:9" ht="15" customHeight="1" x14ac:dyDescent="0.2">
      <c r="B54" t="s">
        <v>167</v>
      </c>
      <c r="C54" s="12">
        <v>91</v>
      </c>
      <c r="D54" s="8">
        <v>2.17</v>
      </c>
      <c r="E54" s="12">
        <v>89</v>
      </c>
      <c r="F54" s="8">
        <v>4.87</v>
      </c>
      <c r="G54" s="12">
        <v>2</v>
      </c>
      <c r="H54" s="8">
        <v>0.08</v>
      </c>
      <c r="I54" s="12">
        <v>0</v>
      </c>
    </row>
    <row r="55" spans="2:9" ht="15" customHeight="1" x14ac:dyDescent="0.2">
      <c r="B55" t="s">
        <v>170</v>
      </c>
      <c r="C55" s="12">
        <v>85</v>
      </c>
      <c r="D55" s="8">
        <v>2.0299999999999998</v>
      </c>
      <c r="E55" s="12">
        <v>66</v>
      </c>
      <c r="F55" s="8">
        <v>3.61</v>
      </c>
      <c r="G55" s="12">
        <v>19</v>
      </c>
      <c r="H55" s="8">
        <v>0.81</v>
      </c>
      <c r="I55" s="12">
        <v>0</v>
      </c>
    </row>
    <row r="56" spans="2:9" ht="15" customHeight="1" x14ac:dyDescent="0.2">
      <c r="B56" t="s">
        <v>155</v>
      </c>
      <c r="C56" s="12">
        <v>81</v>
      </c>
      <c r="D56" s="8">
        <v>1.94</v>
      </c>
      <c r="E56" s="12">
        <v>10</v>
      </c>
      <c r="F56" s="8">
        <v>0.55000000000000004</v>
      </c>
      <c r="G56" s="12">
        <v>71</v>
      </c>
      <c r="H56" s="8">
        <v>3.02</v>
      </c>
      <c r="I56" s="12">
        <v>0</v>
      </c>
    </row>
    <row r="57" spans="2:9" ht="15" customHeight="1" x14ac:dyDescent="0.2">
      <c r="B57" t="s">
        <v>184</v>
      </c>
      <c r="C57" s="12">
        <v>74</v>
      </c>
      <c r="D57" s="8">
        <v>1.77</v>
      </c>
      <c r="E57" s="12">
        <v>13</v>
      </c>
      <c r="F57" s="8">
        <v>0.71</v>
      </c>
      <c r="G57" s="12">
        <v>61</v>
      </c>
      <c r="H57" s="8">
        <v>2.59</v>
      </c>
      <c r="I57" s="12">
        <v>0</v>
      </c>
    </row>
    <row r="58" spans="2:9" ht="15" customHeight="1" x14ac:dyDescent="0.2">
      <c r="B58" t="s">
        <v>158</v>
      </c>
      <c r="C58" s="12">
        <v>72</v>
      </c>
      <c r="D58" s="8">
        <v>1.72</v>
      </c>
      <c r="E58" s="12">
        <v>49</v>
      </c>
      <c r="F58" s="8">
        <v>2.68</v>
      </c>
      <c r="G58" s="12">
        <v>23</v>
      </c>
      <c r="H58" s="8">
        <v>0.98</v>
      </c>
      <c r="I58" s="12">
        <v>0</v>
      </c>
    </row>
    <row r="59" spans="2:9" ht="15" customHeight="1" x14ac:dyDescent="0.2">
      <c r="B59" t="s">
        <v>162</v>
      </c>
      <c r="C59" s="12">
        <v>68</v>
      </c>
      <c r="D59" s="8">
        <v>1.62</v>
      </c>
      <c r="E59" s="12">
        <v>32</v>
      </c>
      <c r="F59" s="8">
        <v>1.75</v>
      </c>
      <c r="G59" s="12">
        <v>35</v>
      </c>
      <c r="H59" s="8">
        <v>1.49</v>
      </c>
      <c r="I59" s="12">
        <v>0</v>
      </c>
    </row>
    <row r="60" spans="2:9" ht="15" customHeight="1" x14ac:dyDescent="0.2">
      <c r="B60" t="s">
        <v>186</v>
      </c>
      <c r="C60" s="12">
        <v>64</v>
      </c>
      <c r="D60" s="8">
        <v>1.53</v>
      </c>
      <c r="E60" s="12">
        <v>36</v>
      </c>
      <c r="F60" s="8">
        <v>1.97</v>
      </c>
      <c r="G60" s="12">
        <v>28</v>
      </c>
      <c r="H60" s="8">
        <v>1.19</v>
      </c>
      <c r="I60" s="12">
        <v>0</v>
      </c>
    </row>
    <row r="61" spans="2:9" ht="15" customHeight="1" x14ac:dyDescent="0.2">
      <c r="B61" t="s">
        <v>175</v>
      </c>
      <c r="C61" s="12">
        <v>64</v>
      </c>
      <c r="D61" s="8">
        <v>1.53</v>
      </c>
      <c r="E61" s="12">
        <v>62</v>
      </c>
      <c r="F61" s="8">
        <v>3.4</v>
      </c>
      <c r="G61" s="12">
        <v>2</v>
      </c>
      <c r="H61" s="8">
        <v>0.08</v>
      </c>
      <c r="I61" s="12">
        <v>0</v>
      </c>
    </row>
    <row r="62" spans="2:9" ht="15" customHeight="1" x14ac:dyDescent="0.2">
      <c r="B62" t="s">
        <v>185</v>
      </c>
      <c r="C62" s="12">
        <v>60</v>
      </c>
      <c r="D62" s="8">
        <v>1.43</v>
      </c>
      <c r="E62" s="12">
        <v>18</v>
      </c>
      <c r="F62" s="8">
        <v>0.99</v>
      </c>
      <c r="G62" s="12">
        <v>42</v>
      </c>
      <c r="H62" s="8">
        <v>1.78</v>
      </c>
      <c r="I62" s="12">
        <v>0</v>
      </c>
    </row>
    <row r="63" spans="2:9" ht="15" customHeight="1" x14ac:dyDescent="0.2">
      <c r="B63" t="s">
        <v>173</v>
      </c>
      <c r="C63" s="12">
        <v>58</v>
      </c>
      <c r="D63" s="8">
        <v>1.39</v>
      </c>
      <c r="E63" s="12">
        <v>7</v>
      </c>
      <c r="F63" s="8">
        <v>0.38</v>
      </c>
      <c r="G63" s="12">
        <v>51</v>
      </c>
      <c r="H63" s="8">
        <v>2.17</v>
      </c>
      <c r="I63" s="12">
        <v>0</v>
      </c>
    </row>
    <row r="64" spans="2:9" ht="15" customHeight="1" x14ac:dyDescent="0.2">
      <c r="B64" t="s">
        <v>174</v>
      </c>
      <c r="C64" s="12">
        <v>57</v>
      </c>
      <c r="D64" s="8">
        <v>1.36</v>
      </c>
      <c r="E64" s="12">
        <v>4</v>
      </c>
      <c r="F64" s="8">
        <v>0.22</v>
      </c>
      <c r="G64" s="12">
        <v>53</v>
      </c>
      <c r="H64" s="8">
        <v>2.25</v>
      </c>
      <c r="I64" s="12">
        <v>0</v>
      </c>
    </row>
    <row r="65" spans="2:9" ht="15" customHeight="1" x14ac:dyDescent="0.2">
      <c r="B65" t="s">
        <v>153</v>
      </c>
      <c r="C65" s="12">
        <v>55</v>
      </c>
      <c r="D65" s="8">
        <v>1.31</v>
      </c>
      <c r="E65" s="12">
        <v>6</v>
      </c>
      <c r="F65" s="8">
        <v>0.33</v>
      </c>
      <c r="G65" s="12">
        <v>49</v>
      </c>
      <c r="H65" s="8">
        <v>2.08</v>
      </c>
      <c r="I65" s="12">
        <v>0</v>
      </c>
    </row>
    <row r="66" spans="2:9" ht="15" customHeight="1" x14ac:dyDescent="0.2">
      <c r="B66" t="s">
        <v>160</v>
      </c>
      <c r="C66" s="12">
        <v>55</v>
      </c>
      <c r="D66" s="8">
        <v>1.31</v>
      </c>
      <c r="E66" s="12">
        <v>5</v>
      </c>
      <c r="F66" s="8">
        <v>0.27</v>
      </c>
      <c r="G66" s="12">
        <v>50</v>
      </c>
      <c r="H66" s="8">
        <v>2.12</v>
      </c>
      <c r="I66" s="12">
        <v>0</v>
      </c>
    </row>
    <row r="68" spans="2:9" ht="15" customHeight="1" x14ac:dyDescent="0.2">
      <c r="B68" t="s">
        <v>280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75</vt:i4>
      </vt:variant>
      <vt:variant>
        <vt:lpstr>名前付き一覧</vt:lpstr>
      </vt:variant>
      <vt:variant>
        <vt:i4>3</vt:i4>
      </vt:variant>
    </vt:vector>
  </HeadingPairs>
  <TitlesOfParts>
    <vt:vector size="78" baseType="lpstr">
      <vt:lpstr>目次</vt:lpstr>
      <vt:lpstr>産業大分類</vt:lpstr>
      <vt:lpstr>産業中分類</vt:lpstr>
      <vt:lpstr>産業小分類</vt:lpstr>
      <vt:lpstr>愛知県</vt:lpstr>
      <vt:lpstr>名古屋市</vt:lpstr>
      <vt:lpstr>名古屋市千種区</vt:lpstr>
      <vt:lpstr>名古屋市東区</vt:lpstr>
      <vt:lpstr>名古屋市北区</vt:lpstr>
      <vt:lpstr>名古屋市西区</vt:lpstr>
      <vt:lpstr>名古屋市中村区</vt:lpstr>
      <vt:lpstr>名古屋市中区</vt:lpstr>
      <vt:lpstr>名古屋市昭和区</vt:lpstr>
      <vt:lpstr>名古屋市瑞穂区</vt:lpstr>
      <vt:lpstr>名古屋市熱田区</vt:lpstr>
      <vt:lpstr>名古屋市中川区</vt:lpstr>
      <vt:lpstr>名古屋市港区</vt:lpstr>
      <vt:lpstr>名古屋市南区</vt:lpstr>
      <vt:lpstr>名古屋市守山区</vt:lpstr>
      <vt:lpstr>名古屋市緑区</vt:lpstr>
      <vt:lpstr>名古屋市名東区</vt:lpstr>
      <vt:lpstr>名古屋市天白区</vt:lpstr>
      <vt:lpstr>豊橋市</vt:lpstr>
      <vt:lpstr>岡崎市</vt:lpstr>
      <vt:lpstr>一宮市</vt:lpstr>
      <vt:lpstr>瀬戸市</vt:lpstr>
      <vt:lpstr>半田市</vt:lpstr>
      <vt:lpstr>春日井市</vt:lpstr>
      <vt:lpstr>豊川市</vt:lpstr>
      <vt:lpstr>津島市</vt:lpstr>
      <vt:lpstr>碧南市</vt:lpstr>
      <vt:lpstr>刈谷市</vt:lpstr>
      <vt:lpstr>豊田市</vt:lpstr>
      <vt:lpstr>安城市</vt:lpstr>
      <vt:lpstr>西尾市</vt:lpstr>
      <vt:lpstr>蒲郡市</vt:lpstr>
      <vt:lpstr>犬山市</vt:lpstr>
      <vt:lpstr>常滑市</vt:lpstr>
      <vt:lpstr>江南市</vt:lpstr>
      <vt:lpstr>小牧市</vt:lpstr>
      <vt:lpstr>稲沢市</vt:lpstr>
      <vt:lpstr>新城市</vt:lpstr>
      <vt:lpstr>東海市</vt:lpstr>
      <vt:lpstr>大府市</vt:lpstr>
      <vt:lpstr>知多市</vt:lpstr>
      <vt:lpstr>知立市</vt:lpstr>
      <vt:lpstr>尾張旭市</vt:lpstr>
      <vt:lpstr>高浜市</vt:lpstr>
      <vt:lpstr>岩倉市</vt:lpstr>
      <vt:lpstr>豊明市</vt:lpstr>
      <vt:lpstr>日進市</vt:lpstr>
      <vt:lpstr>田原市</vt:lpstr>
      <vt:lpstr>愛西市</vt:lpstr>
      <vt:lpstr>清須市</vt:lpstr>
      <vt:lpstr>北名古屋市</vt:lpstr>
      <vt:lpstr>弥富市</vt:lpstr>
      <vt:lpstr>みよし市</vt:lpstr>
      <vt:lpstr>あま市</vt:lpstr>
      <vt:lpstr>長久手市</vt:lpstr>
      <vt:lpstr>愛知郡東郷町</vt:lpstr>
      <vt:lpstr>西春日井郡豊山町</vt:lpstr>
      <vt:lpstr>丹羽郡大口町</vt:lpstr>
      <vt:lpstr>丹羽郡扶桑町</vt:lpstr>
      <vt:lpstr>海部郡大治町</vt:lpstr>
      <vt:lpstr>海部郡蟹江町</vt:lpstr>
      <vt:lpstr>海部郡飛島村</vt:lpstr>
      <vt:lpstr>知多郡阿久比町</vt:lpstr>
      <vt:lpstr>知多郡東浦町</vt:lpstr>
      <vt:lpstr>知多郡南知多町</vt:lpstr>
      <vt:lpstr>知多郡美浜町</vt:lpstr>
      <vt:lpstr>知多郡武豊町</vt:lpstr>
      <vt:lpstr>額田郡幸田町</vt:lpstr>
      <vt:lpstr>北設楽郡設楽町</vt:lpstr>
      <vt:lpstr>北設楽郡東栄町</vt:lpstr>
      <vt:lpstr>北設楽郡豊根村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2023-08-17T02:22:33Z</dcterms:created>
  <dcterms:modified xsi:type="dcterms:W3CDTF">2023-08-17T02:22:33Z</dcterms:modified>
</cp:coreProperties>
</file>